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Week" sheetId="2" state="visible" r:id="rId4"/>
    <sheet name="Grocery List" sheetId="3" state="visible" r:id="rId5"/>
    <sheet name="Meals" sheetId="4" state="visible" r:id="rId6"/>
    <sheet name="Recipes" sheetId="5" state="visible" r:id="rId7"/>
    <sheet name="Lists" sheetId="6" state="hidden" r:id="rId8"/>
  </sheets>
  <definedNames>
    <definedName function="false" hidden="false" localSheetId="2" name="_xlnm.Print_Area" vbProcedure="false">'Grocery List'!$A$1:$I$155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<sst xmlns="http://schemas.openxmlformats.org/spreadsheetml/2006/main" count="252" uniqueCount="110">
  <si>
    <t xml:space="preserve">Weekly Meal Planner + Grocery List</t>
  </si>
  <si>
    <t xml:space="preserve">From Kitchen Table Sheets · free to use</t>
  </si>
  <si>
    <t xml:space="preserve">How to use it</t>
  </si>
  <si>
    <t xml:space="preserve">1. Meals tab: list the meals your household eats, and how many people each recipe serves.</t>
  </si>
  <si>
    <t xml:space="preserve">2. Recipes tab: one row per ingredient — pick the meal, type the ingredient, the amount for one batch, the unit and the aisle.</t>
  </si>
  <si>
    <t xml:space="preserve">3. Week tab: type how many people are eating, then pick a meal for each slot from the drop-down lists.</t>
  </si>
  <si>
    <t xml:space="preserve">4. Grocery List tab: adds up every ingredient for the week, scaled to the number of people, grouped by aisle.</t>
  </si>
  <si>
    <t xml:space="preserve">Colours</t>
  </si>
  <si>
    <t xml:space="preserve">Yellow cells with blue text = yours to fill in. Grey columns are working-out — leave them alone.</t>
  </si>
  <si>
    <t xml:space="preserve">The file opens with an example week. Type over it, or clear the yellow cells to start fresh.</t>
  </si>
  <si>
    <t xml:space="preserve">Good to know</t>
  </si>
  <si>
    <t xml:space="preserve">Ingredients are matched by name and unit, ignoring capitals and extra spaces. 'Onion / each' and 'onion / each' add up; 'Onion / lb' is a separate line.</t>
  </si>
  <si>
    <t xml:space="preserve">Scaling: if a recipe serves 4 and 2 people are eating, its amounts are halved. Leave 'Serves' empty to always make one batch.</t>
  </si>
  <si>
    <t xml:space="preserve">Room for 60 meals, 300 ingredient rows and 150 different grocery items.</t>
  </si>
  <si>
    <t xml:space="preserve">This week</t>
  </si>
  <si>
    <t xml:space="preserve">People eating</t>
  </si>
  <si>
    <t xml:space="preserve">Recipe amounts are scaled to this number.</t>
  </si>
  <si>
    <t xml:space="preserve">Day</t>
  </si>
  <si>
    <t xml:space="preserve">Breakfast</t>
  </si>
  <si>
    <t xml:space="preserve">Lunch</t>
  </si>
  <si>
    <t xml:space="preserve">Dinner</t>
  </si>
  <si>
    <t xml:space="preserve">Snack</t>
  </si>
  <si>
    <t xml:space="preserve">Monday</t>
  </si>
  <si>
    <t xml:space="preserve">Overnight oats</t>
  </si>
  <si>
    <t xml:space="preserve">Turkey &amp; cheese wraps</t>
  </si>
  <si>
    <t xml:space="preserve">Sheet-pan chicken fajitas</t>
  </si>
  <si>
    <t xml:space="preserve">Yogurt &amp; berries</t>
  </si>
  <si>
    <t xml:space="preserve">Tuesday</t>
  </si>
  <si>
    <t xml:space="preserve">Spaghetti bolognese</t>
  </si>
  <si>
    <t xml:space="preserve">Wednesday</t>
  </si>
  <si>
    <t xml:space="preserve">Lentil soup</t>
  </si>
  <si>
    <t xml:space="preserve">Black bean tacos</t>
  </si>
  <si>
    <t xml:space="preserve">Thursday</t>
  </si>
  <si>
    <t xml:space="preserve">Salmon, rice &amp; broccoli</t>
  </si>
  <si>
    <t xml:space="preserve">Friday</t>
  </si>
  <si>
    <t xml:space="preserve">Veggie stir-fry</t>
  </si>
  <si>
    <t xml:space="preserve">Saturday</t>
  </si>
  <si>
    <t xml:space="preserve">Sunday</t>
  </si>
  <si>
    <t xml:space="preserve">Meals planned</t>
  </si>
  <si>
    <t xml:space="preserve">Leave a slot empty if you're eating out or using leftovers.</t>
  </si>
  <si>
    <t xml:space="preserve">Grocery list</t>
  </si>
  <si>
    <t xml:space="preserve">#</t>
  </si>
  <si>
    <t xml:space="preserve">Aisle</t>
  </si>
  <si>
    <t xml:space="preserve">Item</t>
  </si>
  <si>
    <t xml:space="preserve">Amount</t>
  </si>
  <si>
    <t xml:space="preserve">Unit</t>
  </si>
  <si>
    <t xml:space="preserve">✓</t>
  </si>
  <si>
    <t xml:space="preserve">Also buy</t>
  </si>
  <si>
    <t xml:space="preserve">Type anything else you need here — it isn't calculated.</t>
  </si>
  <si>
    <t xml:space="preserve">Your meals</t>
  </si>
  <si>
    <t xml:space="preserve">The names you type here appear in the drop-down lists on the Recipes and Week tabs.</t>
  </si>
  <si>
    <t xml:space="preserve">Meal</t>
  </si>
  <si>
    <t xml:space="preserve">Serves</t>
  </si>
  <si>
    <t xml:space="preserve">Notes</t>
  </si>
  <si>
    <t xml:space="preserve">Recipe ingredients</t>
  </si>
  <si>
    <t xml:space="preserve">One row per ingredient. Amounts are for one batch of the recipe (as many people as 'Serves' on the Meals tab).</t>
  </si>
  <si>
    <t xml:space="preserve">Ingredient</t>
  </si>
  <si>
    <t xml:space="preserve">Times this week</t>
  </si>
  <si>
    <t xml:space="preserve">Scale</t>
  </si>
  <si>
    <t xml:space="preserve">Needed this week</t>
  </si>
  <si>
    <t xml:space="preserve">match key</t>
  </si>
  <si>
    <t xml:space="preserve">list order</t>
  </si>
  <si>
    <t xml:space="preserve">Rolled oats</t>
  </si>
  <si>
    <t xml:space="preserve">cup</t>
  </si>
  <si>
    <t xml:space="preserve">Pantry</t>
  </si>
  <si>
    <t xml:space="preserve">Milk</t>
  </si>
  <si>
    <t xml:space="preserve">Dairy &amp; eggs</t>
  </si>
  <si>
    <t xml:space="preserve">Banana</t>
  </si>
  <si>
    <t xml:space="preserve">each</t>
  </si>
  <si>
    <t xml:space="preserve">Produce</t>
  </si>
  <si>
    <t xml:space="preserve">Honey</t>
  </si>
  <si>
    <t xml:space="preserve">tbsp</t>
  </si>
  <si>
    <t xml:space="preserve">Tortillas</t>
  </si>
  <si>
    <t xml:space="preserve">Bakery</t>
  </si>
  <si>
    <t xml:space="preserve">Sliced turkey</t>
  </si>
  <si>
    <t xml:space="preserve">oz</t>
  </si>
  <si>
    <t xml:space="preserve">Meat &amp; fish</t>
  </si>
  <si>
    <t xml:space="preserve">Cheddar cheese</t>
  </si>
  <si>
    <t xml:space="preserve">Lettuce</t>
  </si>
  <si>
    <t xml:space="preserve">head</t>
  </si>
  <si>
    <t xml:space="preserve">Chicken breast</t>
  </si>
  <si>
    <t xml:space="preserve">lb</t>
  </si>
  <si>
    <t xml:space="preserve">Bell peppers</t>
  </si>
  <si>
    <t xml:space="preserve">Onion</t>
  </si>
  <si>
    <t xml:space="preserve">Sour cream</t>
  </si>
  <si>
    <t xml:space="preserve">Spaghetti</t>
  </si>
  <si>
    <t xml:space="preserve">Ground beef</t>
  </si>
  <si>
    <t xml:space="preserve">Crushed tomatoes</t>
  </si>
  <si>
    <t xml:space="preserve">can</t>
  </si>
  <si>
    <t xml:space="preserve">Garlic</t>
  </si>
  <si>
    <t xml:space="preserve">clove</t>
  </si>
  <si>
    <t xml:space="preserve">Black beans</t>
  </si>
  <si>
    <t xml:space="preserve">Avocado</t>
  </si>
  <si>
    <t xml:space="preserve">Lime</t>
  </si>
  <si>
    <t xml:space="preserve">Salmon fillets</t>
  </si>
  <si>
    <t xml:space="preserve">Rice</t>
  </si>
  <si>
    <t xml:space="preserve">Broccoli</t>
  </si>
  <si>
    <t xml:space="preserve">Lemon</t>
  </si>
  <si>
    <t xml:space="preserve">Frozen stir-fry vegetables</t>
  </si>
  <si>
    <t xml:space="preserve">Frozen</t>
  </si>
  <si>
    <t xml:space="preserve">Soy sauce</t>
  </si>
  <si>
    <t xml:space="preserve">Eggs</t>
  </si>
  <si>
    <t xml:space="preserve">Red lentils</t>
  </si>
  <si>
    <t xml:space="preserve">Carrots</t>
  </si>
  <si>
    <t xml:space="preserve">Vegetable broth</t>
  </si>
  <si>
    <t xml:space="preserve">Bread</t>
  </si>
  <si>
    <t xml:space="preserve">loaf</t>
  </si>
  <si>
    <t xml:space="preserve">Greek yogurt</t>
  </si>
  <si>
    <t xml:space="preserve">Frozen berries</t>
  </si>
  <si>
    <t xml:space="preserve">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</si>
</sst>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General"/>
    <numFmt numFmtId="167" formatCode="0.##"/>
    <numFmt numFmtId="168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1C19"/>
      <name val="Arial"/>
      <family val="0"/>
      <charset val="1"/>
    </font>
    <font>
      <i val="true"/>
      <sz val="9"/>
      <color rgb="FF5A554C"/>
      <name val="Arial"/>
      <family val="0"/>
      <charset val="1"/>
    </font>
    <font>
      <sz val="10"/>
      <color rgb="FF1E1C19"/>
      <name val="Arial"/>
      <family val="0"/>
      <charset val="1"/>
    </font>
    <font>
      <b val="true"/>
      <sz val="10"/>
      <color rgb="FF1E1C1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BF8F2"/>
      <name val="Arial"/>
      <family val="0"/>
      <charset val="1"/>
    </font>
    <font>
      <sz val="9"/>
      <color rgb="FF8A81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CC"/>
        <bgColor rgb="FFF3EEE4"/>
      </patternFill>
    </fill>
    <fill>
      <patternFill patternType="solid">
        <fgColor rgb="FF1E1C19"/>
        <bgColor rgb="FF333333"/>
      </patternFill>
    </fill>
    <fill>
      <patternFill patternType="solid">
        <fgColor rgb="FF5A554C"/>
        <bgColor rgb="FF333333"/>
      </patternFill>
    </fill>
    <fill>
      <patternFill patternType="solid">
        <fgColor rgb="FFF3EEE4"/>
        <bgColor rgb="FFFBF8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C6B4"/>
      </left>
      <right style="thin">
        <color rgb="FFCFC6B4"/>
      </right>
      <top style="thin">
        <color rgb="FFCFC6B4"/>
      </top>
      <bottom style="thin">
        <color rgb="FFCFC6B4"/>
      </bottom>
      <diagonal/>
    </border>
    <border diagonalUp="false" diagonalDown="false">
      <left/>
      <right/>
      <top/>
      <bottom style="thin">
        <color rgb="FFE3DC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BF8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4"/>
      <rgbColor rgb="FF8A8172"/>
      <rgbColor rgb="FF9999FF"/>
      <rgbColor rgb="FF993366"/>
      <rgbColor rgb="FFFFF6CC"/>
      <rgbColor rgb="FFCCFFFF"/>
      <rgbColor rgb="FF660066"/>
      <rgbColor rgb="FFFF8080"/>
      <rgbColor rgb="FF0066CC"/>
      <rgbColor rgb="FFE3DC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E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54C"/>
      <rgbColor rgb="FFC9AE84"/>
      <rgbColor rgb="FF003366"/>
      <rgbColor rgb="FF339966"/>
      <rgbColor rgb="FF003300"/>
      <rgbColor rgb="FF1E1C19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23.8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E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30"/>
  </cols>
  <sheetData>
    <row r="1" customFormat="false" ht="19.7" hidden="false" customHeight="false" outlineLevel="0" collapsed="false">
      <c r="A1" s="5" t="s">
        <v>14</v>
      </c>
    </row>
    <row r="3" customFormat="false" ht="15" hidden="false" customHeight="false" outlineLevel="0" collapsed="false">
      <c r="A3" s="6" t="s">
        <v>15</v>
      </c>
      <c r="B3" s="7" t="n">
        <v>4</v>
      </c>
      <c r="C3" s="8" t="s">
        <v>16</v>
      </c>
    </row>
    <row r="5" customFormat="false" ht="15" hidden="false" customHeight="false" outlineLevel="0" collapsed="false">
      <c r="A5" s="9" t="s">
        <v>17</v>
      </c>
      <c r="B5" s="9" t="s">
        <v>18</v>
      </c>
      <c r="C5" s="9" t="s">
        <v>19</v>
      </c>
      <c r="D5" s="9" t="s">
        <v>20</v>
      </c>
      <c r="E5" s="9" t="s">
        <v>21</v>
      </c>
    </row>
    <row r="6" customFormat="false" ht="15" hidden="false" customHeight="false" outlineLevel="0" collapsed="false">
      <c r="A6" s="6" t="s">
        <v>22</v>
      </c>
      <c r="B6" s="10" t="s">
        <v>23</v>
      </c>
      <c r="C6" s="10" t="s">
        <v>24</v>
      </c>
      <c r="D6" s="10" t="s">
        <v>25</v>
      </c>
      <c r="E6" s="10" t="s">
        <v>26</v>
      </c>
    </row>
    <row r="7" customFormat="false" ht="15" hidden="false" customHeight="false" outlineLevel="0" collapsed="false">
      <c r="A7" s="6" t="s">
        <v>27</v>
      </c>
      <c r="B7" s="10" t="s">
        <v>23</v>
      </c>
      <c r="C7" s="10" t="s">
        <v>24</v>
      </c>
      <c r="D7" s="10" t="s">
        <v>28</v>
      </c>
      <c r="E7" s="10"/>
    </row>
    <row r="8" customFormat="false" ht="15" hidden="false" customHeight="false" outlineLevel="0" collapsed="false">
      <c r="A8" s="6" t="s">
        <v>29</v>
      </c>
      <c r="B8" s="10" t="s">
        <v>23</v>
      </c>
      <c r="C8" s="10" t="s">
        <v>30</v>
      </c>
      <c r="D8" s="10" t="s">
        <v>31</v>
      </c>
      <c r="E8" s="10" t="s">
        <v>26</v>
      </c>
    </row>
    <row r="9" customFormat="false" ht="15" hidden="false" customHeight="false" outlineLevel="0" collapsed="false">
      <c r="A9" s="6" t="s">
        <v>32</v>
      </c>
      <c r="B9" s="10" t="s">
        <v>23</v>
      </c>
      <c r="C9" s="10" t="s">
        <v>24</v>
      </c>
      <c r="D9" s="10" t="s">
        <v>33</v>
      </c>
      <c r="E9" s="10"/>
    </row>
    <row r="10" customFormat="false" ht="15" hidden="false" customHeight="false" outlineLevel="0" collapsed="false">
      <c r="A10" s="6" t="s">
        <v>34</v>
      </c>
      <c r="B10" s="10" t="s">
        <v>23</v>
      </c>
      <c r="C10" s="10" t="s">
        <v>30</v>
      </c>
      <c r="D10" s="10" t="s">
        <v>35</v>
      </c>
      <c r="E10" s="10"/>
    </row>
    <row r="11" customFormat="false" ht="15" hidden="false" customHeight="false" outlineLevel="0" collapsed="false">
      <c r="A11" s="6" t="s">
        <v>36</v>
      </c>
      <c r="B11" s="10"/>
      <c r="C11" s="10" t="s">
        <v>24</v>
      </c>
      <c r="D11" s="10" t="s">
        <v>28</v>
      </c>
      <c r="E11" s="10" t="s">
        <v>26</v>
      </c>
    </row>
    <row r="12" customFormat="false" ht="15" hidden="false" customHeight="false" outlineLevel="0" collapsed="false">
      <c r="A12" s="6" t="s">
        <v>37</v>
      </c>
      <c r="B12" s="10"/>
      <c r="C12" s="10" t="s">
        <v>30</v>
      </c>
      <c r="D12" s="10" t="s">
        <v>25</v>
      </c>
      <c r="E12" s="10"/>
    </row>
    <row r="14" customFormat="false" ht="15" hidden="false" customHeight="false" outlineLevel="0" collapsed="false">
      <c r="A14" s="6" t="s">
        <v>38</v>
      </c>
      <c r="B14" s="6" t="n">
        <f aca="false">COUNTIF(B6:E12,"?*")</f>
        <v>22</v>
      </c>
    </row>
    <row r="15" customFormat="false" ht="15" hidden="false" customHeight="false" outlineLevel="0" collapsed="false">
      <c r="A15" s="8" t="s">
        <v>39</v>
      </c>
    </row>
  </sheetData>
  <dataValidations count="1">
    <dataValidation allowBlank="true" error="Pick a meal from the list, or add it on the Meals tab first." errorStyle="stop" errorTitle="Unknown meal" operator="between" showDropDown="false" showErrorMessage="true" showInputMessage="false" sqref="B6:E12" type="list">
      <formula1>Meals!$A$6:$A$65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tru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30"/>
    <col collapsed="false" customWidth="true" hidden="false" outlineLevel="0" max="6" min="5" style="0" width="10"/>
    <col collapsed="false" customWidth="true" hidden="false" outlineLevel="0" max="7" min="7" style="0" width="5"/>
    <col collapsed="false" customWidth="true" hidden="false" outlineLevel="0" max="9" min="9" style="0" width="28"/>
  </cols>
  <sheetData>
    <row r="1" customFormat="false" ht="19.7" hidden="false" customHeight="false" outlineLevel="0" collapsed="false">
      <c r="A1" s="5" t="s">
        <v>40</v>
      </c>
    </row>
    <row r="2" customFormat="false" ht="15" hidden="false" customHeight="false" outlineLevel="0" collapsed="false">
      <c r="A2" s="8" t="str">
        <f aca="false">"For "&amp;Week!B3&amp;" people · "&amp;Week!B14&amp;" meals planned · "&amp;COUNT(B6:B155)&amp;" items"</f>
        <v>For 4 people · 22 meals planned · 32 items</v>
      </c>
    </row>
    <row r="5" customFormat="false" ht="15" hidden="false" customHeight="false" outlineLevel="0" collapsed="false">
      <c r="A5" s="9" t="s">
        <v>41</v>
      </c>
      <c r="B5" s="9"/>
      <c r="C5" s="9" t="s">
        <v>42</v>
      </c>
      <c r="D5" s="9" t="s">
        <v>43</v>
      </c>
      <c r="E5" s="9" t="s">
        <v>44</v>
      </c>
      <c r="F5" s="9" t="s">
        <v>45</v>
      </c>
      <c r="G5" s="9" t="s">
        <v>46</v>
      </c>
      <c r="I5" s="11" t="s">
        <v>47</v>
      </c>
    </row>
    <row r="6" customFormat="false" ht="15" hidden="false" customHeight="false" outlineLevel="0" collapsed="false">
      <c r="A6" s="12" t="n">
        <f aca="false">IF(B6="","",1)</f>
        <v>1</v>
      </c>
      <c r="B6" s="13" t="n">
        <f aca="false">IFERROR(SMALL(Recipes!$J$6:$J$305,1),"")</f>
        <v>10008</v>
      </c>
      <c r="C6" s="14" t="str">
        <f aca="false">IF(B6="","",IF(INDEX(Recipes!$E$6:$E$305,MATCH(B6,Recipes!$J$6:$J$305,0))="","Other",INDEX(Recipes!$E$6:$E$305,MATCH(B6,Recipes!$J$6:$J$305,0))))</f>
        <v>Produce</v>
      </c>
      <c r="D6" s="12" t="str">
        <f aca="false">IF(B6="","",TRIM(INDEX(Recipes!$B$6:$B$305,MATCH(B6,Recipes!$J$6:$J$305,0))))</f>
        <v>Banana</v>
      </c>
      <c r="E6" s="15" t="n">
        <f aca="false">IF(B6="","",SUMIF(Recipes!$I$6:$I$305,INDEX(Recipes!$I$6:$I$305,MATCH(B6,Recipes!$J$6:$J$305,0)),Recipes!$H$6:$H$305))</f>
        <v>10</v>
      </c>
      <c r="F6" s="12" t="str">
        <f aca="false">IF(B6="","",TRIM(INDEX(Recipes!$D$6:$D$305,MATCH(B6,Recipes!$J$6:$J$305,0))))</f>
        <v>each</v>
      </c>
      <c r="G6" s="12"/>
      <c r="I6" s="10"/>
    </row>
    <row r="7" customFormat="false" ht="15" hidden="false" customHeight="false" outlineLevel="0" collapsed="false">
      <c r="A7" s="12" t="n">
        <f aca="false">IF(B7="","",2)</f>
        <v>2</v>
      </c>
      <c r="B7" s="13" t="n">
        <f aca="false">IFERROR(SMALL(Recipes!$J$6:$J$305,2),"")</f>
        <v>10013</v>
      </c>
      <c r="C7" s="14" t="str">
        <f aca="false">IF(B7="","",IF(INDEX(Recipes!$E$6:$E$305,MATCH(B7,Recipes!$J$6:$J$305,0))="","Other",INDEX(Recipes!$E$6:$E$305,MATCH(B7,Recipes!$J$6:$J$305,0))))</f>
        <v>Produce</v>
      </c>
      <c r="D7" s="12" t="str">
        <f aca="false">IF(B7="","",TRIM(INDEX(Recipes!$B$6:$B$305,MATCH(B7,Recipes!$J$6:$J$305,0))))</f>
        <v>Lettuce</v>
      </c>
      <c r="E7" s="15" t="n">
        <f aca="false">IF(B7="","",SUMIF(Recipes!$I$6:$I$305,INDEX(Recipes!$I$6:$I$305,MATCH(B7,Recipes!$J$6:$J$305,0)),Recipes!$H$6:$H$305))</f>
        <v>4</v>
      </c>
      <c r="F7" s="12" t="str">
        <f aca="false">IF(B7="","",TRIM(INDEX(Recipes!$D$6:$D$305,MATCH(B7,Recipes!$J$6:$J$305,0))))</f>
        <v>head</v>
      </c>
      <c r="G7" s="12"/>
      <c r="I7" s="10"/>
    </row>
    <row r="8" customFormat="false" ht="15" hidden="false" customHeight="false" outlineLevel="0" collapsed="false">
      <c r="A8" s="12" t="n">
        <f aca="false">IF(B8="","",3)</f>
        <v>3</v>
      </c>
      <c r="B8" s="13" t="n">
        <f aca="false">IFERROR(SMALL(Recipes!$J$6:$J$305,3),"")</f>
        <v>10015</v>
      </c>
      <c r="C8" s="14" t="str">
        <f aca="false">IF(B8="","",IF(INDEX(Recipes!$E$6:$E$305,MATCH(B8,Recipes!$J$6:$J$305,0))="","Other",INDEX(Recipes!$E$6:$E$305,MATCH(B8,Recipes!$J$6:$J$305,0))))</f>
        <v>Produce</v>
      </c>
      <c r="D8" s="12" t="str">
        <f aca="false">IF(B8="","",TRIM(INDEX(Recipes!$B$6:$B$305,MATCH(B8,Recipes!$J$6:$J$305,0))))</f>
        <v>Bell peppers</v>
      </c>
      <c r="E8" s="15" t="n">
        <f aca="false">IF(B8="","",SUMIF(Recipes!$I$6:$I$305,INDEX(Recipes!$I$6:$I$305,MATCH(B8,Recipes!$J$6:$J$305,0)),Recipes!$H$6:$H$305))</f>
        <v>6</v>
      </c>
      <c r="F8" s="12" t="str">
        <f aca="false">IF(B8="","",TRIM(INDEX(Recipes!$D$6:$D$305,MATCH(B8,Recipes!$J$6:$J$305,0))))</f>
        <v>each</v>
      </c>
      <c r="G8" s="12"/>
      <c r="I8" s="10"/>
    </row>
    <row r="9" customFormat="false" ht="15" hidden="false" customHeight="false" outlineLevel="0" collapsed="false">
      <c r="A9" s="12" t="n">
        <f aca="false">IF(B9="","",4)</f>
        <v>4</v>
      </c>
      <c r="B9" s="13" t="n">
        <f aca="false">IFERROR(SMALL(Recipes!$J$6:$J$305,4),"")</f>
        <v>10016</v>
      </c>
      <c r="C9" s="14" t="str">
        <f aca="false">IF(B9="","",IF(INDEX(Recipes!$E$6:$E$305,MATCH(B9,Recipes!$J$6:$J$305,0))="","Other",INDEX(Recipes!$E$6:$E$305,MATCH(B9,Recipes!$J$6:$J$305,0))))</f>
        <v>Produce</v>
      </c>
      <c r="D9" s="12" t="str">
        <f aca="false">IF(B9="","",TRIM(INDEX(Recipes!$B$6:$B$305,MATCH(B9,Recipes!$J$6:$J$305,0))))</f>
        <v>Onion</v>
      </c>
      <c r="E9" s="15" t="n">
        <f aca="false">IF(B9="","",SUMIF(Recipes!$I$6:$I$305,INDEX(Recipes!$I$6:$I$305,MATCH(B9,Recipes!$J$6:$J$305,0)),Recipes!$H$6:$H$305))</f>
        <v>6</v>
      </c>
      <c r="F9" s="12" t="str">
        <f aca="false">IF(B9="","",TRIM(INDEX(Recipes!$D$6:$D$305,MATCH(B9,Recipes!$J$6:$J$305,0))))</f>
        <v>each</v>
      </c>
      <c r="G9" s="12"/>
      <c r="I9" s="10"/>
    </row>
    <row r="10" customFormat="false" ht="15" hidden="false" customHeight="false" outlineLevel="0" collapsed="false">
      <c r="A10" s="12" t="n">
        <f aca="false">IF(B10="","",5)</f>
        <v>5</v>
      </c>
      <c r="B10" s="13" t="n">
        <f aca="false">IFERROR(SMALL(Recipes!$J$6:$J$305,5),"")</f>
        <v>10023</v>
      </c>
      <c r="C10" s="14" t="str">
        <f aca="false">IF(B10="","",IF(INDEX(Recipes!$E$6:$E$305,MATCH(B10,Recipes!$J$6:$J$305,0))="","Other",INDEX(Recipes!$E$6:$E$305,MATCH(B10,Recipes!$J$6:$J$305,0))))</f>
        <v>Produce</v>
      </c>
      <c r="D10" s="12" t="str">
        <f aca="false">IF(B10="","",TRIM(INDEX(Recipes!$B$6:$B$305,MATCH(B10,Recipes!$J$6:$J$305,0))))</f>
        <v>Garlic</v>
      </c>
      <c r="E10" s="15" t="n">
        <f aca="false">IF(B10="","",SUMIF(Recipes!$I$6:$I$305,INDEX(Recipes!$I$6:$I$305,MATCH(B10,Recipes!$J$6:$J$305,0)),Recipes!$H$6:$H$305))</f>
        <v>8</v>
      </c>
      <c r="F10" s="12" t="str">
        <f aca="false">IF(B10="","",TRIM(INDEX(Recipes!$D$6:$D$305,MATCH(B10,Recipes!$J$6:$J$305,0))))</f>
        <v>clove</v>
      </c>
      <c r="G10" s="12"/>
      <c r="I10" s="10"/>
    </row>
    <row r="11" customFormat="false" ht="15" hidden="false" customHeight="false" outlineLevel="0" collapsed="false">
      <c r="A11" s="12" t="n">
        <f aca="false">IF(B11="","",6)</f>
        <v>6</v>
      </c>
      <c r="B11" s="13" t="n">
        <f aca="false">IFERROR(SMALL(Recipes!$J$6:$J$305,6),"")</f>
        <v>10026</v>
      </c>
      <c r="C11" s="14" t="str">
        <f aca="false">IF(B11="","",IF(INDEX(Recipes!$E$6:$E$305,MATCH(B11,Recipes!$J$6:$J$305,0))="","Other",INDEX(Recipes!$E$6:$E$305,MATCH(B11,Recipes!$J$6:$J$305,0))))</f>
        <v>Produce</v>
      </c>
      <c r="D11" s="12" t="str">
        <f aca="false">IF(B11="","",TRIM(INDEX(Recipes!$B$6:$B$305,MATCH(B11,Recipes!$J$6:$J$305,0))))</f>
        <v>Avocado</v>
      </c>
      <c r="E11" s="15" t="n">
        <f aca="false">IF(B11="","",SUMIF(Recipes!$I$6:$I$305,INDEX(Recipes!$I$6:$I$305,MATCH(B11,Recipes!$J$6:$J$305,0)),Recipes!$H$6:$H$305))</f>
        <v>2</v>
      </c>
      <c r="F11" s="12" t="str">
        <f aca="false">IF(B11="","",TRIM(INDEX(Recipes!$D$6:$D$305,MATCH(B11,Recipes!$J$6:$J$305,0))))</f>
        <v>each</v>
      </c>
      <c r="G11" s="12"/>
      <c r="I11" s="10"/>
    </row>
    <row r="12" customFormat="false" ht="15" hidden="false" customHeight="false" outlineLevel="0" collapsed="false">
      <c r="A12" s="12" t="n">
        <f aca="false">IF(B12="","",7)</f>
        <v>7</v>
      </c>
      <c r="B12" s="13" t="n">
        <f aca="false">IFERROR(SMALL(Recipes!$J$6:$J$305,7),"")</f>
        <v>10028</v>
      </c>
      <c r="C12" s="14" t="str">
        <f aca="false">IF(B12="","",IF(INDEX(Recipes!$E$6:$E$305,MATCH(B12,Recipes!$J$6:$J$305,0))="","Other",INDEX(Recipes!$E$6:$E$305,MATCH(B12,Recipes!$J$6:$J$305,0))))</f>
        <v>Produce</v>
      </c>
      <c r="D12" s="12" t="str">
        <f aca="false">IF(B12="","",TRIM(INDEX(Recipes!$B$6:$B$305,MATCH(B12,Recipes!$J$6:$J$305,0))))</f>
        <v>Lime</v>
      </c>
      <c r="E12" s="15" t="n">
        <f aca="false">IF(B12="","",SUMIF(Recipes!$I$6:$I$305,INDEX(Recipes!$I$6:$I$305,MATCH(B12,Recipes!$J$6:$J$305,0)),Recipes!$H$6:$H$305))</f>
        <v>1</v>
      </c>
      <c r="F12" s="12" t="str">
        <f aca="false">IF(B12="","",TRIM(INDEX(Recipes!$D$6:$D$305,MATCH(B12,Recipes!$J$6:$J$305,0))))</f>
        <v>each</v>
      </c>
      <c r="G12" s="12"/>
      <c r="I12" s="10"/>
    </row>
    <row r="13" customFormat="false" ht="15" hidden="false" customHeight="false" outlineLevel="0" collapsed="false">
      <c r="A13" s="12" t="n">
        <f aca="false">IF(B13="","",8)</f>
        <v>8</v>
      </c>
      <c r="B13" s="13" t="n">
        <f aca="false">IFERROR(SMALL(Recipes!$J$6:$J$305,8),"")</f>
        <v>10031</v>
      </c>
      <c r="C13" s="14" t="str">
        <f aca="false">IF(B13="","",IF(INDEX(Recipes!$E$6:$E$305,MATCH(B13,Recipes!$J$6:$J$305,0))="","Other",INDEX(Recipes!$E$6:$E$305,MATCH(B13,Recipes!$J$6:$J$305,0))))</f>
        <v>Produce</v>
      </c>
      <c r="D13" s="12" t="str">
        <f aca="false">IF(B13="","",TRIM(INDEX(Recipes!$B$6:$B$305,MATCH(B13,Recipes!$J$6:$J$305,0))))</f>
        <v>Broccoli</v>
      </c>
      <c r="E13" s="15" t="n">
        <f aca="false">IF(B13="","",SUMIF(Recipes!$I$6:$I$305,INDEX(Recipes!$I$6:$I$305,MATCH(B13,Recipes!$J$6:$J$305,0)),Recipes!$H$6:$H$305))</f>
        <v>2</v>
      </c>
      <c r="F13" s="12" t="str">
        <f aca="false">IF(B13="","",TRIM(INDEX(Recipes!$D$6:$D$305,MATCH(B13,Recipes!$J$6:$J$305,0))))</f>
        <v>head</v>
      </c>
      <c r="G13" s="12"/>
      <c r="I13" s="10"/>
    </row>
    <row r="14" customFormat="false" ht="15" hidden="false" customHeight="false" outlineLevel="0" collapsed="false">
      <c r="A14" s="12" t="n">
        <f aca="false">IF(B14="","",9)</f>
        <v>9</v>
      </c>
      <c r="B14" s="13" t="n">
        <f aca="false">IFERROR(SMALL(Recipes!$J$6:$J$305,9),"")</f>
        <v>10032</v>
      </c>
      <c r="C14" s="14" t="str">
        <f aca="false">IF(B14="","",IF(INDEX(Recipes!$E$6:$E$305,MATCH(B14,Recipes!$J$6:$J$305,0))="","Other",INDEX(Recipes!$E$6:$E$305,MATCH(B14,Recipes!$J$6:$J$305,0))))</f>
        <v>Produce</v>
      </c>
      <c r="D14" s="12" t="str">
        <f aca="false">IF(B14="","",TRIM(INDEX(Recipes!$B$6:$B$305,MATCH(B14,Recipes!$J$6:$J$305,0))))</f>
        <v>Lemon</v>
      </c>
      <c r="E14" s="15" t="n">
        <f aca="false">IF(B14="","",SUMIF(Recipes!$I$6:$I$305,INDEX(Recipes!$I$6:$I$305,MATCH(B14,Recipes!$J$6:$J$305,0)),Recipes!$H$6:$H$305))</f>
        <v>1</v>
      </c>
      <c r="F14" s="12" t="str">
        <f aca="false">IF(B14="","",TRIM(INDEX(Recipes!$D$6:$D$305,MATCH(B14,Recipes!$J$6:$J$305,0))))</f>
        <v>each</v>
      </c>
      <c r="G14" s="12"/>
      <c r="I14" s="10"/>
    </row>
    <row r="15" customFormat="false" ht="15" hidden="false" customHeight="false" outlineLevel="0" collapsed="false">
      <c r="A15" s="12" t="n">
        <f aca="false">IF(B15="","",10)</f>
        <v>10</v>
      </c>
      <c r="B15" s="13" t="n">
        <f aca="false">IFERROR(SMALL(Recipes!$J$6:$J$305,10),"")</f>
        <v>10039</v>
      </c>
      <c r="C15" s="14" t="str">
        <f aca="false">IF(B15="","",IF(INDEX(Recipes!$E$6:$E$305,MATCH(B15,Recipes!$J$6:$J$305,0))="","Other",INDEX(Recipes!$E$6:$E$305,MATCH(B15,Recipes!$J$6:$J$305,0))))</f>
        <v>Produce</v>
      </c>
      <c r="D15" s="12" t="str">
        <f aca="false">IF(B15="","",TRIM(INDEX(Recipes!$B$6:$B$305,MATCH(B15,Recipes!$J$6:$J$305,0))))</f>
        <v>Carrots</v>
      </c>
      <c r="E15" s="15" t="n">
        <f aca="false">IF(B15="","",SUMIF(Recipes!$I$6:$I$305,INDEX(Recipes!$I$6:$I$305,MATCH(B15,Recipes!$J$6:$J$305,0)),Recipes!$H$6:$H$305))</f>
        <v>6</v>
      </c>
      <c r="F15" s="12" t="str">
        <f aca="false">IF(B15="","",TRIM(INDEX(Recipes!$D$6:$D$305,MATCH(B15,Recipes!$J$6:$J$305,0))))</f>
        <v>each</v>
      </c>
      <c r="G15" s="12"/>
      <c r="I15" s="10"/>
    </row>
    <row r="16" customFormat="false" ht="15" hidden="false" customHeight="false" outlineLevel="0" collapsed="false">
      <c r="A16" s="12" t="n">
        <f aca="false">IF(B16="","",11)</f>
        <v>11</v>
      </c>
      <c r="B16" s="13" t="n">
        <f aca="false">IFERROR(SMALL(Recipes!$J$6:$J$305,11),"")</f>
        <v>20011</v>
      </c>
      <c r="C16" s="14" t="str">
        <f aca="false">IF(B16="","",IF(INDEX(Recipes!$E$6:$E$305,MATCH(B16,Recipes!$J$6:$J$305,0))="","Other",INDEX(Recipes!$E$6:$E$305,MATCH(B16,Recipes!$J$6:$J$305,0))))</f>
        <v>Meat &amp; fish</v>
      </c>
      <c r="D16" s="12" t="str">
        <f aca="false">IF(B16="","",TRIM(INDEX(Recipes!$B$6:$B$305,MATCH(B16,Recipes!$J$6:$J$305,0))))</f>
        <v>Sliced turkey</v>
      </c>
      <c r="E16" s="15" t="n">
        <f aca="false">IF(B16="","",SUMIF(Recipes!$I$6:$I$305,INDEX(Recipes!$I$6:$I$305,MATCH(B16,Recipes!$J$6:$J$305,0)),Recipes!$H$6:$H$305))</f>
        <v>48</v>
      </c>
      <c r="F16" s="12" t="str">
        <f aca="false">IF(B16="","",TRIM(INDEX(Recipes!$D$6:$D$305,MATCH(B16,Recipes!$J$6:$J$305,0))))</f>
        <v>oz</v>
      </c>
      <c r="G16" s="12"/>
      <c r="I16" s="10"/>
    </row>
    <row r="17" customFormat="false" ht="15" hidden="false" customHeight="false" outlineLevel="0" collapsed="false">
      <c r="A17" s="12" t="n">
        <f aca="false">IF(B17="","",12)</f>
        <v>12</v>
      </c>
      <c r="B17" s="13" t="n">
        <f aca="false">IFERROR(SMALL(Recipes!$J$6:$J$305,12),"")</f>
        <v>20014</v>
      </c>
      <c r="C17" s="14" t="str">
        <f aca="false">IF(B17="","",IF(INDEX(Recipes!$E$6:$E$305,MATCH(B17,Recipes!$J$6:$J$305,0))="","Other",INDEX(Recipes!$E$6:$E$305,MATCH(B17,Recipes!$J$6:$J$305,0))))</f>
        <v>Meat &amp; fish</v>
      </c>
      <c r="D17" s="12" t="str">
        <f aca="false">IF(B17="","",TRIM(INDEX(Recipes!$B$6:$B$305,MATCH(B17,Recipes!$J$6:$J$305,0))))</f>
        <v>Chicken breast</v>
      </c>
      <c r="E17" s="15" t="n">
        <f aca="false">IF(B17="","",SUMIF(Recipes!$I$6:$I$305,INDEX(Recipes!$I$6:$I$305,MATCH(B17,Recipes!$J$6:$J$305,0)),Recipes!$H$6:$H$305))</f>
        <v>3</v>
      </c>
      <c r="F17" s="12" t="str">
        <f aca="false">IF(B17="","",TRIM(INDEX(Recipes!$D$6:$D$305,MATCH(B17,Recipes!$J$6:$J$305,0))))</f>
        <v>lb</v>
      </c>
      <c r="G17" s="12"/>
      <c r="I17" s="10"/>
    </row>
    <row r="18" customFormat="false" ht="15" hidden="false" customHeight="false" outlineLevel="0" collapsed="false">
      <c r="A18" s="12" t="n">
        <f aca="false">IF(B18="","",13)</f>
        <v>13</v>
      </c>
      <c r="B18" s="13" t="n">
        <f aca="false">IFERROR(SMALL(Recipes!$J$6:$J$305,13),"")</f>
        <v>20020</v>
      </c>
      <c r="C18" s="14" t="str">
        <f aca="false">IF(B18="","",IF(INDEX(Recipes!$E$6:$E$305,MATCH(B18,Recipes!$J$6:$J$305,0))="","Other",INDEX(Recipes!$E$6:$E$305,MATCH(B18,Recipes!$J$6:$J$305,0))))</f>
        <v>Meat &amp; fish</v>
      </c>
      <c r="D18" s="12" t="str">
        <f aca="false">IF(B18="","",TRIM(INDEX(Recipes!$B$6:$B$305,MATCH(B18,Recipes!$J$6:$J$305,0))))</f>
        <v>Ground beef</v>
      </c>
      <c r="E18" s="15" t="n">
        <f aca="false">IF(B18="","",SUMIF(Recipes!$I$6:$I$305,INDEX(Recipes!$I$6:$I$305,MATCH(B18,Recipes!$J$6:$J$305,0)),Recipes!$H$6:$H$305))</f>
        <v>2</v>
      </c>
      <c r="F18" s="12" t="str">
        <f aca="false">IF(B18="","",TRIM(INDEX(Recipes!$D$6:$D$305,MATCH(B18,Recipes!$J$6:$J$305,0))))</f>
        <v>lb</v>
      </c>
      <c r="G18" s="12"/>
      <c r="I18" s="10"/>
    </row>
    <row r="19" customFormat="false" ht="15" hidden="false" customHeight="false" outlineLevel="0" collapsed="false">
      <c r="A19" s="12" t="n">
        <f aca="false">IF(B19="","",14)</f>
        <v>14</v>
      </c>
      <c r="B19" s="13" t="n">
        <f aca="false">IFERROR(SMALL(Recipes!$J$6:$J$305,14),"")</f>
        <v>20029</v>
      </c>
      <c r="C19" s="14" t="str">
        <f aca="false">IF(B19="","",IF(INDEX(Recipes!$E$6:$E$305,MATCH(B19,Recipes!$J$6:$J$305,0))="","Other",INDEX(Recipes!$E$6:$E$305,MATCH(B19,Recipes!$J$6:$J$305,0))))</f>
        <v>Meat &amp; fish</v>
      </c>
      <c r="D19" s="12" t="str">
        <f aca="false">IF(B19="","",TRIM(INDEX(Recipes!$B$6:$B$305,MATCH(B19,Recipes!$J$6:$J$305,0))))</f>
        <v>Salmon fillets</v>
      </c>
      <c r="E19" s="15" t="n">
        <f aca="false">IF(B19="","",SUMIF(Recipes!$I$6:$I$305,INDEX(Recipes!$I$6:$I$305,MATCH(B19,Recipes!$J$6:$J$305,0)),Recipes!$H$6:$H$305))</f>
        <v>4</v>
      </c>
      <c r="F19" s="12" t="str">
        <f aca="false">IF(B19="","",TRIM(INDEX(Recipes!$D$6:$D$305,MATCH(B19,Recipes!$J$6:$J$305,0))))</f>
        <v>each</v>
      </c>
      <c r="G19" s="12"/>
      <c r="I19" s="10"/>
    </row>
    <row r="20" customFormat="false" ht="15" hidden="false" customHeight="false" outlineLevel="0" collapsed="false">
      <c r="A20" s="12" t="n">
        <f aca="false">IF(B20="","",15)</f>
        <v>15</v>
      </c>
      <c r="B20" s="13" t="n">
        <f aca="false">IFERROR(SMALL(Recipes!$J$6:$J$305,15),"")</f>
        <v>30007</v>
      </c>
      <c r="C20" s="14" t="str">
        <f aca="false">IF(B20="","",IF(INDEX(Recipes!$E$6:$E$305,MATCH(B20,Recipes!$J$6:$J$305,0))="","Other",INDEX(Recipes!$E$6:$E$305,MATCH(B20,Recipes!$J$6:$J$305,0))))</f>
        <v>Dairy &amp; eggs</v>
      </c>
      <c r="D20" s="12" t="str">
        <f aca="false">IF(B20="","",TRIM(INDEX(Recipes!$B$6:$B$305,MATCH(B20,Recipes!$J$6:$J$305,0))))</f>
        <v>Milk</v>
      </c>
      <c r="E20" s="15" t="n">
        <f aca="false">IF(B20="","",SUMIF(Recipes!$I$6:$I$305,INDEX(Recipes!$I$6:$I$305,MATCH(B20,Recipes!$J$6:$J$305,0)),Recipes!$H$6:$H$305))</f>
        <v>10</v>
      </c>
      <c r="F20" s="12" t="str">
        <f aca="false">IF(B20="","",TRIM(INDEX(Recipes!$D$6:$D$305,MATCH(B20,Recipes!$J$6:$J$305,0))))</f>
        <v>cup</v>
      </c>
      <c r="G20" s="12"/>
      <c r="I20" s="10"/>
    </row>
    <row r="21" customFormat="false" ht="15" hidden="false" customHeight="false" outlineLevel="0" collapsed="false">
      <c r="A21" s="12" t="n">
        <f aca="false">IF(B21="","",16)</f>
        <v>16</v>
      </c>
      <c r="B21" s="13" t="n">
        <f aca="false">IFERROR(SMALL(Recipes!$J$6:$J$305,16),"")</f>
        <v>30012</v>
      </c>
      <c r="C21" s="14" t="str">
        <f aca="false">IF(B21="","",IF(INDEX(Recipes!$E$6:$E$305,MATCH(B21,Recipes!$J$6:$J$305,0))="","Other",INDEX(Recipes!$E$6:$E$305,MATCH(B21,Recipes!$J$6:$J$305,0))))</f>
        <v>Dairy &amp; eggs</v>
      </c>
      <c r="D21" s="12" t="str">
        <f aca="false">IF(B21="","",TRIM(INDEX(Recipes!$B$6:$B$305,MATCH(B21,Recipes!$J$6:$J$305,0))))</f>
        <v>Cheddar cheese</v>
      </c>
      <c r="E21" s="15" t="n">
        <f aca="false">IF(B21="","",SUMIF(Recipes!$I$6:$I$305,INDEX(Recipes!$I$6:$I$305,MATCH(B21,Recipes!$J$6:$J$305,0)),Recipes!$H$6:$H$305))</f>
        <v>20</v>
      </c>
      <c r="F21" s="12" t="str">
        <f aca="false">IF(B21="","",TRIM(INDEX(Recipes!$D$6:$D$305,MATCH(B21,Recipes!$J$6:$J$305,0))))</f>
        <v>oz</v>
      </c>
      <c r="G21" s="12"/>
      <c r="I21" s="10"/>
    </row>
    <row r="22" customFormat="false" ht="15" hidden="false" customHeight="false" outlineLevel="0" collapsed="false">
      <c r="A22" s="12" t="n">
        <f aca="false">IF(B22="","",17)</f>
        <v>17</v>
      </c>
      <c r="B22" s="13" t="n">
        <f aca="false">IFERROR(SMALL(Recipes!$J$6:$J$305,17),"")</f>
        <v>30018</v>
      </c>
      <c r="C22" s="14" t="str">
        <f aca="false">IF(B22="","",IF(INDEX(Recipes!$E$6:$E$305,MATCH(B22,Recipes!$J$6:$J$305,0))="","Other",INDEX(Recipes!$E$6:$E$305,MATCH(B22,Recipes!$J$6:$J$305,0))))</f>
        <v>Dairy &amp; eggs</v>
      </c>
      <c r="D22" s="12" t="str">
        <f aca="false">IF(B22="","",TRIM(INDEX(Recipes!$B$6:$B$305,MATCH(B22,Recipes!$J$6:$J$305,0))))</f>
        <v>Sour cream</v>
      </c>
      <c r="E22" s="15" t="n">
        <f aca="false">IF(B22="","",SUMIF(Recipes!$I$6:$I$305,INDEX(Recipes!$I$6:$I$305,MATCH(B22,Recipes!$J$6:$J$305,0)),Recipes!$H$6:$H$305))</f>
        <v>1</v>
      </c>
      <c r="F22" s="12" t="str">
        <f aca="false">IF(B22="","",TRIM(INDEX(Recipes!$D$6:$D$305,MATCH(B22,Recipes!$J$6:$J$305,0))))</f>
        <v>cup</v>
      </c>
      <c r="G22" s="12"/>
      <c r="I22" s="10"/>
    </row>
    <row r="23" customFormat="false" ht="15" hidden="false" customHeight="false" outlineLevel="0" collapsed="false">
      <c r="A23" s="12" t="n">
        <f aca="false">IF(B23="","",18)</f>
        <v>18</v>
      </c>
      <c r="B23" s="13" t="n">
        <f aca="false">IFERROR(SMALL(Recipes!$J$6:$J$305,18),"")</f>
        <v>30036</v>
      </c>
      <c r="C23" s="14" t="str">
        <f aca="false">IF(B23="","",IF(INDEX(Recipes!$E$6:$E$305,MATCH(B23,Recipes!$J$6:$J$305,0))="","Other",INDEX(Recipes!$E$6:$E$305,MATCH(B23,Recipes!$J$6:$J$305,0))))</f>
        <v>Dairy &amp; eggs</v>
      </c>
      <c r="D23" s="12" t="str">
        <f aca="false">IF(B23="","",TRIM(INDEX(Recipes!$B$6:$B$305,MATCH(B23,Recipes!$J$6:$J$305,0))))</f>
        <v>Eggs</v>
      </c>
      <c r="E23" s="15" t="n">
        <f aca="false">IF(B23="","",SUMIF(Recipes!$I$6:$I$305,INDEX(Recipes!$I$6:$I$305,MATCH(B23,Recipes!$J$6:$J$305,0)),Recipes!$H$6:$H$305))</f>
        <v>4</v>
      </c>
      <c r="F23" s="12" t="str">
        <f aca="false">IF(B23="","",TRIM(INDEX(Recipes!$D$6:$D$305,MATCH(B23,Recipes!$J$6:$J$305,0))))</f>
        <v>each</v>
      </c>
      <c r="G23" s="12"/>
      <c r="I23" s="10"/>
    </row>
    <row r="24" customFormat="false" ht="15" hidden="false" customHeight="false" outlineLevel="0" collapsed="false">
      <c r="A24" s="12" t="n">
        <f aca="false">IF(B24="","",19)</f>
        <v>19</v>
      </c>
      <c r="B24" s="13" t="n">
        <f aca="false">IFERROR(SMALL(Recipes!$J$6:$J$305,19),"")</f>
        <v>30043</v>
      </c>
      <c r="C24" s="14" t="str">
        <f aca="false">IF(B24="","",IF(INDEX(Recipes!$E$6:$E$305,MATCH(B24,Recipes!$J$6:$J$305,0))="","Other",INDEX(Recipes!$E$6:$E$305,MATCH(B24,Recipes!$J$6:$J$305,0))))</f>
        <v>Dairy &amp; eggs</v>
      </c>
      <c r="D24" s="12" t="str">
        <f aca="false">IF(B24="","",TRIM(INDEX(Recipes!$B$6:$B$305,MATCH(B24,Recipes!$J$6:$J$305,0))))</f>
        <v>Greek yogurt</v>
      </c>
      <c r="E24" s="15" t="n">
        <f aca="false">IF(B24="","",SUMIF(Recipes!$I$6:$I$305,INDEX(Recipes!$I$6:$I$305,MATCH(B24,Recipes!$J$6:$J$305,0)),Recipes!$H$6:$H$305))</f>
        <v>6</v>
      </c>
      <c r="F24" s="12" t="str">
        <f aca="false">IF(B24="","",TRIM(INDEX(Recipes!$D$6:$D$305,MATCH(B24,Recipes!$J$6:$J$305,0))))</f>
        <v>cup</v>
      </c>
      <c r="G24" s="12"/>
      <c r="I24" s="10"/>
    </row>
    <row r="25" customFormat="false" ht="15" hidden="false" customHeight="false" outlineLevel="0" collapsed="false">
      <c r="A25" s="12" t="n">
        <f aca="false">IF(B25="","",20)</f>
        <v>20</v>
      </c>
      <c r="B25" s="13" t="n">
        <f aca="false">IFERROR(SMALL(Recipes!$J$6:$J$305,20),"")</f>
        <v>40010</v>
      </c>
      <c r="C25" s="14" t="str">
        <f aca="false">IF(B25="","",IF(INDEX(Recipes!$E$6:$E$305,MATCH(B25,Recipes!$J$6:$J$305,0))="","Other",INDEX(Recipes!$E$6:$E$305,MATCH(B25,Recipes!$J$6:$J$305,0))))</f>
        <v>Bakery</v>
      </c>
      <c r="D25" s="12" t="str">
        <f aca="false">IF(B25="","",TRIM(INDEX(Recipes!$B$6:$B$305,MATCH(B25,Recipes!$J$6:$J$305,0))))</f>
        <v>Tortillas</v>
      </c>
      <c r="E25" s="15" t="n">
        <f aca="false">IF(B25="","",SUMIF(Recipes!$I$6:$I$305,INDEX(Recipes!$I$6:$I$305,MATCH(B25,Recipes!$J$6:$J$305,0)),Recipes!$H$6:$H$305))</f>
        <v>40</v>
      </c>
      <c r="F25" s="12" t="str">
        <f aca="false">IF(B25="","",TRIM(INDEX(Recipes!$D$6:$D$305,MATCH(B25,Recipes!$J$6:$J$305,0))))</f>
        <v>each</v>
      </c>
      <c r="G25" s="12"/>
      <c r="I25" s="10"/>
    </row>
    <row r="26" customFormat="false" ht="15" hidden="false" customHeight="false" outlineLevel="0" collapsed="false">
      <c r="A26" s="12" t="n">
        <f aca="false">IF(B26="","",21)</f>
        <v>21</v>
      </c>
      <c r="B26" s="13" t="n">
        <f aca="false">IFERROR(SMALL(Recipes!$J$6:$J$305,21),"")</f>
        <v>40042</v>
      </c>
      <c r="C26" s="14" t="str">
        <f aca="false">IF(B26="","",IF(INDEX(Recipes!$E$6:$E$305,MATCH(B26,Recipes!$J$6:$J$305,0))="","Other",INDEX(Recipes!$E$6:$E$305,MATCH(B26,Recipes!$J$6:$J$305,0))))</f>
        <v>Bakery</v>
      </c>
      <c r="D26" s="12" t="str">
        <f aca="false">IF(B26="","",TRIM(INDEX(Recipes!$B$6:$B$305,MATCH(B26,Recipes!$J$6:$J$305,0))))</f>
        <v>Bread</v>
      </c>
      <c r="E26" s="15" t="n">
        <f aca="false">IF(B26="","",SUMIF(Recipes!$I$6:$I$305,INDEX(Recipes!$I$6:$I$305,MATCH(B26,Recipes!$J$6:$J$305,0)),Recipes!$H$6:$H$305))</f>
        <v>2</v>
      </c>
      <c r="F26" s="12" t="str">
        <f aca="false">IF(B26="","",TRIM(INDEX(Recipes!$D$6:$D$305,MATCH(B26,Recipes!$J$6:$J$305,0))))</f>
        <v>loaf</v>
      </c>
      <c r="G26" s="12"/>
    </row>
    <row r="27" customFormat="false" ht="15" hidden="false" customHeight="false" outlineLevel="0" collapsed="false">
      <c r="A27" s="12" t="n">
        <f aca="false">IF(B27="","",22)</f>
        <v>22</v>
      </c>
      <c r="B27" s="13" t="n">
        <f aca="false">IFERROR(SMALL(Recipes!$J$6:$J$305,22),"")</f>
        <v>50006</v>
      </c>
      <c r="C27" s="14" t="str">
        <f aca="false">IF(B27="","",IF(INDEX(Recipes!$E$6:$E$305,MATCH(B27,Recipes!$J$6:$J$305,0))="","Other",INDEX(Recipes!$E$6:$E$305,MATCH(B27,Recipes!$J$6:$J$305,0))))</f>
        <v>Pantry</v>
      </c>
      <c r="D27" s="12" t="str">
        <f aca="false">IF(B27="","",TRIM(INDEX(Recipes!$B$6:$B$305,MATCH(B27,Recipes!$J$6:$J$305,0))))</f>
        <v>Rolled oats</v>
      </c>
      <c r="E27" s="15" t="n">
        <f aca="false">IF(B27="","",SUMIF(Recipes!$I$6:$I$305,INDEX(Recipes!$I$6:$I$305,MATCH(B27,Recipes!$J$6:$J$305,0)),Recipes!$H$6:$H$305))</f>
        <v>10</v>
      </c>
      <c r="F27" s="12" t="str">
        <f aca="false">IF(B27="","",TRIM(INDEX(Recipes!$D$6:$D$305,MATCH(B27,Recipes!$J$6:$J$305,0))))</f>
        <v>cup</v>
      </c>
      <c r="G27" s="12"/>
      <c r="I27" s="8" t="s">
        <v>48</v>
      </c>
    </row>
    <row r="28" customFormat="false" ht="15" hidden="false" customHeight="false" outlineLevel="0" collapsed="false">
      <c r="A28" s="12" t="n">
        <f aca="false">IF(B28="","",23)</f>
        <v>23</v>
      </c>
      <c r="B28" s="13" t="n">
        <f aca="false">IFERROR(SMALL(Recipes!$J$6:$J$305,23),"")</f>
        <v>50009</v>
      </c>
      <c r="C28" s="14" t="str">
        <f aca="false">IF(B28="","",IF(INDEX(Recipes!$E$6:$E$305,MATCH(B28,Recipes!$J$6:$J$305,0))="","Other",INDEX(Recipes!$E$6:$E$305,MATCH(B28,Recipes!$J$6:$J$305,0))))</f>
        <v>Pantry</v>
      </c>
      <c r="D28" s="12" t="str">
        <f aca="false">IF(B28="","",TRIM(INDEX(Recipes!$B$6:$B$305,MATCH(B28,Recipes!$J$6:$J$305,0))))</f>
        <v>Honey</v>
      </c>
      <c r="E28" s="15" t="n">
        <f aca="false">IF(B28="","",SUMIF(Recipes!$I$6:$I$305,INDEX(Recipes!$I$6:$I$305,MATCH(B28,Recipes!$J$6:$J$305,0)),Recipes!$H$6:$H$305))</f>
        <v>10</v>
      </c>
      <c r="F28" s="12" t="str">
        <f aca="false">IF(B28="","",TRIM(INDEX(Recipes!$D$6:$D$305,MATCH(B28,Recipes!$J$6:$J$305,0))))</f>
        <v>tbsp</v>
      </c>
      <c r="G28" s="12"/>
    </row>
    <row r="29" customFormat="false" ht="15" hidden="false" customHeight="false" outlineLevel="0" collapsed="false">
      <c r="A29" s="12" t="n">
        <f aca="false">IF(B29="","",24)</f>
        <v>24</v>
      </c>
      <c r="B29" s="13" t="n">
        <f aca="false">IFERROR(SMALL(Recipes!$J$6:$J$305,24),"")</f>
        <v>50019</v>
      </c>
      <c r="C29" s="14" t="str">
        <f aca="false">IF(B29="","",IF(INDEX(Recipes!$E$6:$E$305,MATCH(B29,Recipes!$J$6:$J$305,0))="","Other",INDEX(Recipes!$E$6:$E$305,MATCH(B29,Recipes!$J$6:$J$305,0))))</f>
        <v>Pantry</v>
      </c>
      <c r="D29" s="12" t="str">
        <f aca="false">IF(B29="","",TRIM(INDEX(Recipes!$B$6:$B$305,MATCH(B29,Recipes!$J$6:$J$305,0))))</f>
        <v>Spaghetti</v>
      </c>
      <c r="E29" s="15" t="n">
        <f aca="false">IF(B29="","",SUMIF(Recipes!$I$6:$I$305,INDEX(Recipes!$I$6:$I$305,MATCH(B29,Recipes!$J$6:$J$305,0)),Recipes!$H$6:$H$305))</f>
        <v>2</v>
      </c>
      <c r="F29" s="12" t="str">
        <f aca="false">IF(B29="","",TRIM(INDEX(Recipes!$D$6:$D$305,MATCH(B29,Recipes!$J$6:$J$305,0))))</f>
        <v>lb</v>
      </c>
      <c r="G29" s="12"/>
    </row>
    <row r="30" customFormat="false" ht="15" hidden="false" customHeight="false" outlineLevel="0" collapsed="false">
      <c r="A30" s="12" t="n">
        <f aca="false">IF(B30="","",25)</f>
        <v>25</v>
      </c>
      <c r="B30" s="13" t="n">
        <f aca="false">IFERROR(SMALL(Recipes!$J$6:$J$305,25),"")</f>
        <v>50021</v>
      </c>
      <c r="C30" s="14" t="str">
        <f aca="false">IF(B30="","",IF(INDEX(Recipes!$E$6:$E$305,MATCH(B30,Recipes!$J$6:$J$305,0))="","Other",INDEX(Recipes!$E$6:$E$305,MATCH(B30,Recipes!$J$6:$J$305,0))))</f>
        <v>Pantry</v>
      </c>
      <c r="D30" s="12" t="str">
        <f aca="false">IF(B30="","",TRIM(INDEX(Recipes!$B$6:$B$305,MATCH(B30,Recipes!$J$6:$J$305,0))))</f>
        <v>Crushed tomatoes</v>
      </c>
      <c r="E30" s="15" t="n">
        <f aca="false">IF(B30="","",SUMIF(Recipes!$I$6:$I$305,INDEX(Recipes!$I$6:$I$305,MATCH(B30,Recipes!$J$6:$J$305,0)),Recipes!$H$6:$H$305))</f>
        <v>2</v>
      </c>
      <c r="F30" s="12" t="str">
        <f aca="false">IF(B30="","",TRIM(INDEX(Recipes!$D$6:$D$305,MATCH(B30,Recipes!$J$6:$J$305,0))))</f>
        <v>can</v>
      </c>
      <c r="G30" s="12"/>
    </row>
    <row r="31" customFormat="false" ht="15" hidden="false" customHeight="false" outlineLevel="0" collapsed="false">
      <c r="A31" s="12" t="n">
        <f aca="false">IF(B31="","",26)</f>
        <v>26</v>
      </c>
      <c r="B31" s="13" t="n">
        <f aca="false">IFERROR(SMALL(Recipes!$J$6:$J$305,26),"")</f>
        <v>50024</v>
      </c>
      <c r="C31" s="14" t="str">
        <f aca="false">IF(B31="","",IF(INDEX(Recipes!$E$6:$E$305,MATCH(B31,Recipes!$J$6:$J$305,0))="","Other",INDEX(Recipes!$E$6:$E$305,MATCH(B31,Recipes!$J$6:$J$305,0))))</f>
        <v>Pantry</v>
      </c>
      <c r="D31" s="12" t="str">
        <f aca="false">IF(B31="","",TRIM(INDEX(Recipes!$B$6:$B$305,MATCH(B31,Recipes!$J$6:$J$305,0))))</f>
        <v>Black beans</v>
      </c>
      <c r="E31" s="15" t="n">
        <f aca="false">IF(B31="","",SUMIF(Recipes!$I$6:$I$305,INDEX(Recipes!$I$6:$I$305,MATCH(B31,Recipes!$J$6:$J$305,0)),Recipes!$H$6:$H$305))</f>
        <v>2</v>
      </c>
      <c r="F31" s="12" t="str">
        <f aca="false">IF(B31="","",TRIM(INDEX(Recipes!$D$6:$D$305,MATCH(B31,Recipes!$J$6:$J$305,0))))</f>
        <v>can</v>
      </c>
      <c r="G31" s="12"/>
    </row>
    <row r="32" customFormat="false" ht="15" hidden="false" customHeight="false" outlineLevel="0" collapsed="false">
      <c r="A32" s="12" t="n">
        <f aca="false">IF(B32="","",27)</f>
        <v>27</v>
      </c>
      <c r="B32" s="13" t="n">
        <f aca="false">IFERROR(SMALL(Recipes!$J$6:$J$305,27),"")</f>
        <v>50030</v>
      </c>
      <c r="C32" s="14" t="str">
        <f aca="false">IF(B32="","",IF(INDEX(Recipes!$E$6:$E$305,MATCH(B32,Recipes!$J$6:$J$305,0))="","Other",INDEX(Recipes!$E$6:$E$305,MATCH(B32,Recipes!$J$6:$J$305,0))))</f>
        <v>Pantry</v>
      </c>
      <c r="D32" s="12" t="str">
        <f aca="false">IF(B32="","",TRIM(INDEX(Recipes!$B$6:$B$305,MATCH(B32,Recipes!$J$6:$J$305,0))))</f>
        <v>Rice</v>
      </c>
      <c r="E32" s="15" t="n">
        <f aca="false">IF(B32="","",SUMIF(Recipes!$I$6:$I$305,INDEX(Recipes!$I$6:$I$305,MATCH(B32,Recipes!$J$6:$J$305,0)),Recipes!$H$6:$H$305))</f>
        <v>3</v>
      </c>
      <c r="F32" s="12" t="str">
        <f aca="false">IF(B32="","",TRIM(INDEX(Recipes!$D$6:$D$305,MATCH(B32,Recipes!$J$6:$J$305,0))))</f>
        <v>cup</v>
      </c>
      <c r="G32" s="12"/>
    </row>
    <row r="33" customFormat="false" ht="15" hidden="false" customHeight="false" outlineLevel="0" collapsed="false">
      <c r="A33" s="12" t="n">
        <f aca="false">IF(B33="","",28)</f>
        <v>28</v>
      </c>
      <c r="B33" s="13" t="n">
        <f aca="false">IFERROR(SMALL(Recipes!$J$6:$J$305,28),"")</f>
        <v>50035</v>
      </c>
      <c r="C33" s="14" t="str">
        <f aca="false">IF(B33="","",IF(INDEX(Recipes!$E$6:$E$305,MATCH(B33,Recipes!$J$6:$J$305,0))="","Other",INDEX(Recipes!$E$6:$E$305,MATCH(B33,Recipes!$J$6:$J$305,0))))</f>
        <v>Pantry</v>
      </c>
      <c r="D33" s="12" t="str">
        <f aca="false">IF(B33="","",TRIM(INDEX(Recipes!$B$6:$B$305,MATCH(B33,Recipes!$J$6:$J$305,0))))</f>
        <v>Soy sauce</v>
      </c>
      <c r="E33" s="15" t="n">
        <f aca="false">IF(B33="","",SUMIF(Recipes!$I$6:$I$305,INDEX(Recipes!$I$6:$I$305,MATCH(B33,Recipes!$J$6:$J$305,0)),Recipes!$H$6:$H$305))</f>
        <v>3</v>
      </c>
      <c r="F33" s="12" t="str">
        <f aca="false">IF(B33="","",TRIM(INDEX(Recipes!$D$6:$D$305,MATCH(B33,Recipes!$J$6:$J$305,0))))</f>
        <v>tbsp</v>
      </c>
      <c r="G33" s="12"/>
    </row>
    <row r="34" customFormat="false" ht="15" hidden="false" customHeight="false" outlineLevel="0" collapsed="false">
      <c r="A34" s="12" t="n">
        <f aca="false">IF(B34="","",29)</f>
        <v>29</v>
      </c>
      <c r="B34" s="13" t="n">
        <f aca="false">IFERROR(SMALL(Recipes!$J$6:$J$305,29),"")</f>
        <v>50038</v>
      </c>
      <c r="C34" s="14" t="str">
        <f aca="false">IF(B34="","",IF(INDEX(Recipes!$E$6:$E$305,MATCH(B34,Recipes!$J$6:$J$305,0))="","Other",INDEX(Recipes!$E$6:$E$305,MATCH(B34,Recipes!$J$6:$J$305,0))))</f>
        <v>Pantry</v>
      </c>
      <c r="D34" s="12" t="str">
        <f aca="false">IF(B34="","",TRIM(INDEX(Recipes!$B$6:$B$305,MATCH(B34,Recipes!$J$6:$J$305,0))))</f>
        <v>Red lentils</v>
      </c>
      <c r="E34" s="15" t="n">
        <f aca="false">IF(B34="","",SUMIF(Recipes!$I$6:$I$305,INDEX(Recipes!$I$6:$I$305,MATCH(B34,Recipes!$J$6:$J$305,0)),Recipes!$H$6:$H$305))</f>
        <v>4</v>
      </c>
      <c r="F34" s="12" t="str">
        <f aca="false">IF(B34="","",TRIM(INDEX(Recipes!$D$6:$D$305,MATCH(B34,Recipes!$J$6:$J$305,0))))</f>
        <v>cup</v>
      </c>
      <c r="G34" s="12"/>
    </row>
    <row r="35" customFormat="false" ht="15" hidden="false" customHeight="false" outlineLevel="0" collapsed="false">
      <c r="A35" s="12" t="n">
        <f aca="false">IF(B35="","",30)</f>
        <v>30</v>
      </c>
      <c r="B35" s="13" t="n">
        <f aca="false">IFERROR(SMALL(Recipes!$J$6:$J$305,30),"")</f>
        <v>50041</v>
      </c>
      <c r="C35" s="14" t="str">
        <f aca="false">IF(B35="","",IF(INDEX(Recipes!$E$6:$E$305,MATCH(B35,Recipes!$J$6:$J$305,0))="","Other",INDEX(Recipes!$E$6:$E$305,MATCH(B35,Recipes!$J$6:$J$305,0))))</f>
        <v>Pantry</v>
      </c>
      <c r="D35" s="12" t="str">
        <f aca="false">IF(B35="","",TRIM(INDEX(Recipes!$B$6:$B$305,MATCH(B35,Recipes!$J$6:$J$305,0))))</f>
        <v>Vegetable broth</v>
      </c>
      <c r="E35" s="15" t="n">
        <f aca="false">IF(B35="","",SUMIF(Recipes!$I$6:$I$305,INDEX(Recipes!$I$6:$I$305,MATCH(B35,Recipes!$J$6:$J$305,0)),Recipes!$H$6:$H$305))</f>
        <v>12</v>
      </c>
      <c r="F35" s="12" t="str">
        <f aca="false">IF(B35="","",TRIM(INDEX(Recipes!$D$6:$D$305,MATCH(B35,Recipes!$J$6:$J$305,0))))</f>
        <v>cup</v>
      </c>
      <c r="G35" s="12"/>
    </row>
    <row r="36" customFormat="false" ht="15" hidden="false" customHeight="false" outlineLevel="0" collapsed="false">
      <c r="A36" s="12" t="n">
        <f aca="false">IF(B36="","",31)</f>
        <v>31</v>
      </c>
      <c r="B36" s="13" t="n">
        <f aca="false">IFERROR(SMALL(Recipes!$J$6:$J$305,31),"")</f>
        <v>60033</v>
      </c>
      <c r="C36" s="14" t="str">
        <f aca="false">IF(B36="","",IF(INDEX(Recipes!$E$6:$E$305,MATCH(B36,Recipes!$J$6:$J$305,0))="","Other",INDEX(Recipes!$E$6:$E$305,MATCH(B36,Recipes!$J$6:$J$305,0))))</f>
        <v>Frozen</v>
      </c>
      <c r="D36" s="12" t="str">
        <f aca="false">IF(B36="","",TRIM(INDEX(Recipes!$B$6:$B$305,MATCH(B36,Recipes!$J$6:$J$305,0))))</f>
        <v>Frozen stir-fry vegetables</v>
      </c>
      <c r="E36" s="15" t="n">
        <f aca="false">IF(B36="","",SUMIF(Recipes!$I$6:$I$305,INDEX(Recipes!$I$6:$I$305,MATCH(B36,Recipes!$J$6:$J$305,0)),Recipes!$H$6:$H$305))</f>
        <v>2</v>
      </c>
      <c r="F36" s="12" t="str">
        <f aca="false">IF(B36="","",TRIM(INDEX(Recipes!$D$6:$D$305,MATCH(B36,Recipes!$J$6:$J$305,0))))</f>
        <v>lb</v>
      </c>
      <c r="G36" s="12"/>
    </row>
    <row r="37" customFormat="false" ht="15" hidden="false" customHeight="false" outlineLevel="0" collapsed="false">
      <c r="A37" s="12" t="n">
        <f aca="false">IF(B37="","",32)</f>
        <v>32</v>
      </c>
      <c r="B37" s="13" t="n">
        <f aca="false">IFERROR(SMALL(Recipes!$J$6:$J$305,32),"")</f>
        <v>60044</v>
      </c>
      <c r="C37" s="14" t="str">
        <f aca="false">IF(B37="","",IF(INDEX(Recipes!$E$6:$E$305,MATCH(B37,Recipes!$J$6:$J$305,0))="","Other",INDEX(Recipes!$E$6:$E$305,MATCH(B37,Recipes!$J$6:$J$305,0))))</f>
        <v>Frozen</v>
      </c>
      <c r="D37" s="12" t="str">
        <f aca="false">IF(B37="","",TRIM(INDEX(Recipes!$B$6:$B$305,MATCH(B37,Recipes!$J$6:$J$305,0))))</f>
        <v>Frozen berries</v>
      </c>
      <c r="E37" s="15" t="n">
        <f aca="false">IF(B37="","",SUMIF(Recipes!$I$6:$I$305,INDEX(Recipes!$I$6:$I$305,MATCH(B37,Recipes!$J$6:$J$305,0)),Recipes!$H$6:$H$305))</f>
        <v>3</v>
      </c>
      <c r="F37" s="12" t="str">
        <f aca="false">IF(B37="","",TRIM(INDEX(Recipes!$D$6:$D$305,MATCH(B37,Recipes!$J$6:$J$305,0))))</f>
        <v>cup</v>
      </c>
      <c r="G37" s="12"/>
    </row>
    <row r="38" customFormat="false" ht="15" hidden="false" customHeight="false" outlineLevel="0" collapsed="false">
      <c r="A38" s="12" t="str">
        <f aca="false">IF(B38="","",33)</f>
        <v/>
      </c>
      <c r="B38" s="0" t="str">
        <f aca="false">IFERROR(SMALL(Recipes!$J$6:$J$305,33),"")</f>
        <v/>
      </c>
      <c r="C38" s="14" t="str">
        <f aca="false">IF(B38="","",IF(INDEX(Recipes!$E$6:$E$305,MATCH(B38,Recipes!$J$6:$J$305,0))="","Other",INDEX(Recipes!$E$6:$E$305,MATCH(B38,Recipes!$J$6:$J$305,0))))</f>
        <v/>
      </c>
      <c r="D38" s="12" t="str">
        <f aca="false">IF(B38="","",TRIM(INDEX(Recipes!$B$6:$B$305,MATCH(B38,Recipes!$J$6:$J$305,0))))</f>
        <v/>
      </c>
      <c r="E38" s="15" t="str">
        <f aca="false">IF(B38="","",SUMIF(Recipes!$I$6:$I$305,INDEX(Recipes!$I$6:$I$305,MATCH(B38,Recipes!$J$6:$J$305,0)),Recipes!$H$6:$H$305))</f>
        <v/>
      </c>
      <c r="F38" s="12" t="str">
        <f aca="false">IF(B38="","",TRIM(INDEX(Recipes!$D$6:$D$305,MATCH(B38,Recipes!$J$6:$J$305,0))))</f>
        <v/>
      </c>
      <c r="G38" s="12"/>
    </row>
    <row r="39" customFormat="false" ht="15" hidden="false" customHeight="false" outlineLevel="0" collapsed="false">
      <c r="A39" s="12" t="str">
        <f aca="false">IF(B39="","",34)</f>
        <v/>
      </c>
      <c r="B39" s="0" t="str">
        <f aca="false">IFERROR(SMALL(Recipes!$J$6:$J$305,34),"")</f>
        <v/>
      </c>
      <c r="C39" s="14" t="str">
        <f aca="false">IF(B39="","",IF(INDEX(Recipes!$E$6:$E$305,MATCH(B39,Recipes!$J$6:$J$305,0))="","Other",INDEX(Recipes!$E$6:$E$305,MATCH(B39,Recipes!$J$6:$J$305,0))))</f>
        <v/>
      </c>
      <c r="D39" s="12" t="str">
        <f aca="false">IF(B39="","",TRIM(INDEX(Recipes!$B$6:$B$305,MATCH(B39,Recipes!$J$6:$J$305,0))))</f>
        <v/>
      </c>
      <c r="E39" s="15" t="str">
        <f aca="false">IF(B39="","",SUMIF(Recipes!$I$6:$I$305,INDEX(Recipes!$I$6:$I$305,MATCH(B39,Recipes!$J$6:$J$305,0)),Recipes!$H$6:$H$305))</f>
        <v/>
      </c>
      <c r="F39" s="12" t="str">
        <f aca="false">IF(B39="","",TRIM(INDEX(Recipes!$D$6:$D$305,MATCH(B39,Recipes!$J$6:$J$305,0))))</f>
        <v/>
      </c>
      <c r="G39" s="12"/>
    </row>
    <row r="40" customFormat="false" ht="15" hidden="false" customHeight="false" outlineLevel="0" collapsed="false">
      <c r="A40" s="12" t="str">
        <f aca="false">IF(B40="","",35)</f>
        <v/>
      </c>
      <c r="B40" s="0" t="str">
        <f aca="false">IFERROR(SMALL(Recipes!$J$6:$J$305,35),"")</f>
        <v/>
      </c>
      <c r="C40" s="14" t="str">
        <f aca="false">IF(B40="","",IF(INDEX(Recipes!$E$6:$E$305,MATCH(B40,Recipes!$J$6:$J$305,0))="","Other",INDEX(Recipes!$E$6:$E$305,MATCH(B40,Recipes!$J$6:$J$305,0))))</f>
        <v/>
      </c>
      <c r="D40" s="12" t="str">
        <f aca="false">IF(B40="","",TRIM(INDEX(Recipes!$B$6:$B$305,MATCH(B40,Recipes!$J$6:$J$305,0))))</f>
        <v/>
      </c>
      <c r="E40" s="15" t="str">
        <f aca="false">IF(B40="","",SUMIF(Recipes!$I$6:$I$305,INDEX(Recipes!$I$6:$I$305,MATCH(B40,Recipes!$J$6:$J$305,0)),Recipes!$H$6:$H$305))</f>
        <v/>
      </c>
      <c r="F40" s="12" t="str">
        <f aca="false">IF(B40="","",TRIM(INDEX(Recipes!$D$6:$D$305,MATCH(B40,Recipes!$J$6:$J$305,0))))</f>
        <v/>
      </c>
      <c r="G40" s="12"/>
    </row>
    <row r="41" customFormat="false" ht="15" hidden="false" customHeight="false" outlineLevel="0" collapsed="false">
      <c r="A41" s="12" t="str">
        <f aca="false">IF(B41="","",36)</f>
        <v/>
      </c>
      <c r="B41" s="0" t="str">
        <f aca="false">IFERROR(SMALL(Recipes!$J$6:$J$305,36),"")</f>
        <v/>
      </c>
      <c r="C41" s="14" t="str">
        <f aca="false">IF(B41="","",IF(INDEX(Recipes!$E$6:$E$305,MATCH(B41,Recipes!$J$6:$J$305,0))="","Other",INDEX(Recipes!$E$6:$E$305,MATCH(B41,Recipes!$J$6:$J$305,0))))</f>
        <v/>
      </c>
      <c r="D41" s="12" t="str">
        <f aca="false">IF(B41="","",TRIM(INDEX(Recipes!$B$6:$B$305,MATCH(B41,Recipes!$J$6:$J$305,0))))</f>
        <v/>
      </c>
      <c r="E41" s="15" t="str">
        <f aca="false">IF(B41="","",SUMIF(Recipes!$I$6:$I$305,INDEX(Recipes!$I$6:$I$305,MATCH(B41,Recipes!$J$6:$J$305,0)),Recipes!$H$6:$H$305))</f>
        <v/>
      </c>
      <c r="F41" s="12" t="str">
        <f aca="false">IF(B41="","",TRIM(INDEX(Recipes!$D$6:$D$305,MATCH(B41,Recipes!$J$6:$J$305,0))))</f>
        <v/>
      </c>
      <c r="G41" s="12"/>
    </row>
    <row r="42" customFormat="false" ht="15" hidden="false" customHeight="false" outlineLevel="0" collapsed="false">
      <c r="A42" s="12" t="str">
        <f aca="false">IF(B42="","",37)</f>
        <v/>
      </c>
      <c r="B42" s="0" t="str">
        <f aca="false">IFERROR(SMALL(Recipes!$J$6:$J$305,37),"")</f>
        <v/>
      </c>
      <c r="C42" s="14" t="str">
        <f aca="false">IF(B42="","",IF(INDEX(Recipes!$E$6:$E$305,MATCH(B42,Recipes!$J$6:$J$305,0))="","Other",INDEX(Recipes!$E$6:$E$305,MATCH(B42,Recipes!$J$6:$J$305,0))))</f>
        <v/>
      </c>
      <c r="D42" s="12" t="str">
        <f aca="false">IF(B42="","",TRIM(INDEX(Recipes!$B$6:$B$305,MATCH(B42,Recipes!$J$6:$J$305,0))))</f>
        <v/>
      </c>
      <c r="E42" s="15" t="str">
        <f aca="false">IF(B42="","",SUMIF(Recipes!$I$6:$I$305,INDEX(Recipes!$I$6:$I$305,MATCH(B42,Recipes!$J$6:$J$305,0)),Recipes!$H$6:$H$305))</f>
        <v/>
      </c>
      <c r="F42" s="12" t="str">
        <f aca="false">IF(B42="","",TRIM(INDEX(Recipes!$D$6:$D$305,MATCH(B42,Recipes!$J$6:$J$305,0))))</f>
        <v/>
      </c>
      <c r="G42" s="12"/>
    </row>
    <row r="43" customFormat="false" ht="15" hidden="false" customHeight="false" outlineLevel="0" collapsed="false">
      <c r="A43" s="12" t="str">
        <f aca="false">IF(B43="","",38)</f>
        <v/>
      </c>
      <c r="B43" s="0" t="str">
        <f aca="false">IFERROR(SMALL(Recipes!$J$6:$J$305,38),"")</f>
        <v/>
      </c>
      <c r="C43" s="14" t="str">
        <f aca="false">IF(B43="","",IF(INDEX(Recipes!$E$6:$E$305,MATCH(B43,Recipes!$J$6:$J$305,0))="","Other",INDEX(Recipes!$E$6:$E$305,MATCH(B43,Recipes!$J$6:$J$305,0))))</f>
        <v/>
      </c>
      <c r="D43" s="12" t="str">
        <f aca="false">IF(B43="","",TRIM(INDEX(Recipes!$B$6:$B$305,MATCH(B43,Recipes!$J$6:$J$305,0))))</f>
        <v/>
      </c>
      <c r="E43" s="15" t="str">
        <f aca="false">IF(B43="","",SUMIF(Recipes!$I$6:$I$305,INDEX(Recipes!$I$6:$I$305,MATCH(B43,Recipes!$J$6:$J$305,0)),Recipes!$H$6:$H$305))</f>
        <v/>
      </c>
      <c r="F43" s="12" t="str">
        <f aca="false">IF(B43="","",TRIM(INDEX(Recipes!$D$6:$D$305,MATCH(B43,Recipes!$J$6:$J$305,0))))</f>
        <v/>
      </c>
      <c r="G43" s="12"/>
    </row>
    <row r="44" customFormat="false" ht="15" hidden="false" customHeight="false" outlineLevel="0" collapsed="false">
      <c r="A44" s="12" t="str">
        <f aca="false">IF(B44="","",39)</f>
        <v/>
      </c>
      <c r="B44" s="0" t="str">
        <f aca="false">IFERROR(SMALL(Recipes!$J$6:$J$305,39),"")</f>
        <v/>
      </c>
      <c r="C44" s="14" t="str">
        <f aca="false">IF(B44="","",IF(INDEX(Recipes!$E$6:$E$305,MATCH(B44,Recipes!$J$6:$J$305,0))="","Other",INDEX(Recipes!$E$6:$E$305,MATCH(B44,Recipes!$J$6:$J$305,0))))</f>
        <v/>
      </c>
      <c r="D44" s="12" t="str">
        <f aca="false">IF(B44="","",TRIM(INDEX(Recipes!$B$6:$B$305,MATCH(B44,Recipes!$J$6:$J$305,0))))</f>
        <v/>
      </c>
      <c r="E44" s="15" t="str">
        <f aca="false">IF(B44="","",SUMIF(Recipes!$I$6:$I$305,INDEX(Recipes!$I$6:$I$305,MATCH(B44,Recipes!$J$6:$J$305,0)),Recipes!$H$6:$H$305))</f>
        <v/>
      </c>
      <c r="F44" s="12" t="str">
        <f aca="false">IF(B44="","",TRIM(INDEX(Recipes!$D$6:$D$305,MATCH(B44,Recipes!$J$6:$J$305,0))))</f>
        <v/>
      </c>
      <c r="G44" s="12"/>
    </row>
    <row r="45" customFormat="false" ht="15" hidden="false" customHeight="false" outlineLevel="0" collapsed="false">
      <c r="A45" s="12" t="str">
        <f aca="false">IF(B45="","",40)</f>
        <v/>
      </c>
      <c r="B45" s="0" t="str">
        <f aca="false">IFERROR(SMALL(Recipes!$J$6:$J$305,40),"")</f>
        <v/>
      </c>
      <c r="C45" s="14" t="str">
        <f aca="false">IF(B45="","",IF(INDEX(Recipes!$E$6:$E$305,MATCH(B45,Recipes!$J$6:$J$305,0))="","Other",INDEX(Recipes!$E$6:$E$305,MATCH(B45,Recipes!$J$6:$J$305,0))))</f>
        <v/>
      </c>
      <c r="D45" s="12" t="str">
        <f aca="false">IF(B45="","",TRIM(INDEX(Recipes!$B$6:$B$305,MATCH(B45,Recipes!$J$6:$J$305,0))))</f>
        <v/>
      </c>
      <c r="E45" s="15" t="str">
        <f aca="false">IF(B45="","",SUMIF(Recipes!$I$6:$I$305,INDEX(Recipes!$I$6:$I$305,MATCH(B45,Recipes!$J$6:$J$305,0)),Recipes!$H$6:$H$305))</f>
        <v/>
      </c>
      <c r="F45" s="12" t="str">
        <f aca="false">IF(B45="","",TRIM(INDEX(Recipes!$D$6:$D$305,MATCH(B45,Recipes!$J$6:$J$305,0))))</f>
        <v/>
      </c>
      <c r="G45" s="12"/>
    </row>
    <row r="46" customFormat="false" ht="15" hidden="false" customHeight="false" outlineLevel="0" collapsed="false">
      <c r="A46" s="12" t="str">
        <f aca="false">IF(B46="","",41)</f>
        <v/>
      </c>
      <c r="B46" s="0" t="str">
        <f aca="false">IFERROR(SMALL(Recipes!$J$6:$J$305,41),"")</f>
        <v/>
      </c>
      <c r="C46" s="14" t="str">
        <f aca="false">IF(B46="","",IF(INDEX(Recipes!$E$6:$E$305,MATCH(B46,Recipes!$J$6:$J$305,0))="","Other",INDEX(Recipes!$E$6:$E$305,MATCH(B46,Recipes!$J$6:$J$305,0))))</f>
        <v/>
      </c>
      <c r="D46" s="12" t="str">
        <f aca="false">IF(B46="","",TRIM(INDEX(Recipes!$B$6:$B$305,MATCH(B46,Recipes!$J$6:$J$305,0))))</f>
        <v/>
      </c>
      <c r="E46" s="15" t="str">
        <f aca="false">IF(B46="","",SUMIF(Recipes!$I$6:$I$305,INDEX(Recipes!$I$6:$I$305,MATCH(B46,Recipes!$J$6:$J$305,0)),Recipes!$H$6:$H$305))</f>
        <v/>
      </c>
      <c r="F46" s="12" t="str">
        <f aca="false">IF(B46="","",TRIM(INDEX(Recipes!$D$6:$D$305,MATCH(B46,Recipes!$J$6:$J$305,0))))</f>
        <v/>
      </c>
      <c r="G46" s="12"/>
    </row>
    <row r="47" customFormat="false" ht="15" hidden="false" customHeight="false" outlineLevel="0" collapsed="false">
      <c r="A47" s="12" t="str">
        <f aca="false">IF(B47="","",42)</f>
        <v/>
      </c>
      <c r="B47" s="0" t="str">
        <f aca="false">IFERROR(SMALL(Recipes!$J$6:$J$305,42),"")</f>
        <v/>
      </c>
      <c r="C47" s="14" t="str">
        <f aca="false">IF(B47="","",IF(INDEX(Recipes!$E$6:$E$305,MATCH(B47,Recipes!$J$6:$J$305,0))="","Other",INDEX(Recipes!$E$6:$E$305,MATCH(B47,Recipes!$J$6:$J$305,0))))</f>
        <v/>
      </c>
      <c r="D47" s="12" t="str">
        <f aca="false">IF(B47="","",TRIM(INDEX(Recipes!$B$6:$B$305,MATCH(B47,Recipes!$J$6:$J$305,0))))</f>
        <v/>
      </c>
      <c r="E47" s="15" t="str">
        <f aca="false">IF(B47="","",SUMIF(Recipes!$I$6:$I$305,INDEX(Recipes!$I$6:$I$305,MATCH(B47,Recipes!$J$6:$J$305,0)),Recipes!$H$6:$H$305))</f>
        <v/>
      </c>
      <c r="F47" s="12" t="str">
        <f aca="false">IF(B47="","",TRIM(INDEX(Recipes!$D$6:$D$305,MATCH(B47,Recipes!$J$6:$J$305,0))))</f>
        <v/>
      </c>
      <c r="G47" s="12"/>
    </row>
    <row r="48" customFormat="false" ht="15" hidden="false" customHeight="false" outlineLevel="0" collapsed="false">
      <c r="A48" s="12" t="str">
        <f aca="false">IF(B48="","",43)</f>
        <v/>
      </c>
      <c r="B48" s="0" t="str">
        <f aca="false">IFERROR(SMALL(Recipes!$J$6:$J$305,43),"")</f>
        <v/>
      </c>
      <c r="C48" s="14" t="str">
        <f aca="false">IF(B48="","",IF(INDEX(Recipes!$E$6:$E$305,MATCH(B48,Recipes!$J$6:$J$305,0))="","Other",INDEX(Recipes!$E$6:$E$305,MATCH(B48,Recipes!$J$6:$J$305,0))))</f>
        <v/>
      </c>
      <c r="D48" s="12" t="str">
        <f aca="false">IF(B48="","",TRIM(INDEX(Recipes!$B$6:$B$305,MATCH(B48,Recipes!$J$6:$J$305,0))))</f>
        <v/>
      </c>
      <c r="E48" s="15" t="str">
        <f aca="false">IF(B48="","",SUMIF(Recipes!$I$6:$I$305,INDEX(Recipes!$I$6:$I$305,MATCH(B48,Recipes!$J$6:$J$305,0)),Recipes!$H$6:$H$305))</f>
        <v/>
      </c>
      <c r="F48" s="12" t="str">
        <f aca="false">IF(B48="","",TRIM(INDEX(Recipes!$D$6:$D$305,MATCH(B48,Recipes!$J$6:$J$305,0))))</f>
        <v/>
      </c>
      <c r="G48" s="12"/>
    </row>
    <row r="49" customFormat="false" ht="15" hidden="false" customHeight="false" outlineLevel="0" collapsed="false">
      <c r="A49" s="12" t="str">
        <f aca="false">IF(B49="","",44)</f>
        <v/>
      </c>
      <c r="B49" s="0" t="str">
        <f aca="false">IFERROR(SMALL(Recipes!$J$6:$J$305,44),"")</f>
        <v/>
      </c>
      <c r="C49" s="14" t="str">
        <f aca="false">IF(B49="","",IF(INDEX(Recipes!$E$6:$E$305,MATCH(B49,Recipes!$J$6:$J$305,0))="","Other",INDEX(Recipes!$E$6:$E$305,MATCH(B49,Recipes!$J$6:$J$305,0))))</f>
        <v/>
      </c>
      <c r="D49" s="12" t="str">
        <f aca="false">IF(B49="","",TRIM(INDEX(Recipes!$B$6:$B$305,MATCH(B49,Recipes!$J$6:$J$305,0))))</f>
        <v/>
      </c>
      <c r="E49" s="15" t="str">
        <f aca="false">IF(B49="","",SUMIF(Recipes!$I$6:$I$305,INDEX(Recipes!$I$6:$I$305,MATCH(B49,Recipes!$J$6:$J$305,0)),Recipes!$H$6:$H$305))</f>
        <v/>
      </c>
      <c r="F49" s="12" t="str">
        <f aca="false">IF(B49="","",TRIM(INDEX(Recipes!$D$6:$D$305,MATCH(B49,Recipes!$J$6:$J$305,0))))</f>
        <v/>
      </c>
      <c r="G49" s="12"/>
    </row>
    <row r="50" customFormat="false" ht="15" hidden="false" customHeight="false" outlineLevel="0" collapsed="false">
      <c r="A50" s="12" t="str">
        <f aca="false">IF(B50="","",45)</f>
        <v/>
      </c>
      <c r="B50" s="0" t="str">
        <f aca="false">IFERROR(SMALL(Recipes!$J$6:$J$305,45),"")</f>
        <v/>
      </c>
      <c r="C50" s="14" t="str">
        <f aca="false">IF(B50="","",IF(INDEX(Recipes!$E$6:$E$305,MATCH(B50,Recipes!$J$6:$J$305,0))="","Other",INDEX(Recipes!$E$6:$E$305,MATCH(B50,Recipes!$J$6:$J$305,0))))</f>
        <v/>
      </c>
      <c r="D50" s="12" t="str">
        <f aca="false">IF(B50="","",TRIM(INDEX(Recipes!$B$6:$B$305,MATCH(B50,Recipes!$J$6:$J$305,0))))</f>
        <v/>
      </c>
      <c r="E50" s="15" t="str">
        <f aca="false">IF(B50="","",SUMIF(Recipes!$I$6:$I$305,INDEX(Recipes!$I$6:$I$305,MATCH(B50,Recipes!$J$6:$J$305,0)),Recipes!$H$6:$H$305))</f>
        <v/>
      </c>
      <c r="F50" s="12" t="str">
        <f aca="false">IF(B50="","",TRIM(INDEX(Recipes!$D$6:$D$305,MATCH(B50,Recipes!$J$6:$J$305,0))))</f>
        <v/>
      </c>
      <c r="G50" s="12"/>
    </row>
    <row r="51" customFormat="false" ht="15" hidden="false" customHeight="false" outlineLevel="0" collapsed="false">
      <c r="A51" s="12" t="str">
        <f aca="false">IF(B51="","",46)</f>
        <v/>
      </c>
      <c r="B51" s="0" t="str">
        <f aca="false">IFERROR(SMALL(Recipes!$J$6:$J$305,46),"")</f>
        <v/>
      </c>
      <c r="C51" s="14" t="str">
        <f aca="false">IF(B51="","",IF(INDEX(Recipes!$E$6:$E$305,MATCH(B51,Recipes!$J$6:$J$305,0))="","Other",INDEX(Recipes!$E$6:$E$305,MATCH(B51,Recipes!$J$6:$J$305,0))))</f>
        <v/>
      </c>
      <c r="D51" s="12" t="str">
        <f aca="false">IF(B51="","",TRIM(INDEX(Recipes!$B$6:$B$305,MATCH(B51,Recipes!$J$6:$J$305,0))))</f>
        <v/>
      </c>
      <c r="E51" s="15" t="str">
        <f aca="false">IF(B51="","",SUMIF(Recipes!$I$6:$I$305,INDEX(Recipes!$I$6:$I$305,MATCH(B51,Recipes!$J$6:$J$305,0)),Recipes!$H$6:$H$305))</f>
        <v/>
      </c>
      <c r="F51" s="12" t="str">
        <f aca="false">IF(B51="","",TRIM(INDEX(Recipes!$D$6:$D$305,MATCH(B51,Recipes!$J$6:$J$305,0))))</f>
        <v/>
      </c>
      <c r="G51" s="12"/>
    </row>
    <row r="52" customFormat="false" ht="15" hidden="false" customHeight="false" outlineLevel="0" collapsed="false">
      <c r="A52" s="12" t="str">
        <f aca="false">IF(B52="","",47)</f>
        <v/>
      </c>
      <c r="B52" s="0" t="str">
        <f aca="false">IFERROR(SMALL(Recipes!$J$6:$J$305,47),"")</f>
        <v/>
      </c>
      <c r="C52" s="14" t="str">
        <f aca="false">IF(B52="","",IF(INDEX(Recipes!$E$6:$E$305,MATCH(B52,Recipes!$J$6:$J$305,0))="","Other",INDEX(Recipes!$E$6:$E$305,MATCH(B52,Recipes!$J$6:$J$305,0))))</f>
        <v/>
      </c>
      <c r="D52" s="12" t="str">
        <f aca="false">IF(B52="","",TRIM(INDEX(Recipes!$B$6:$B$305,MATCH(B52,Recipes!$J$6:$J$305,0))))</f>
        <v/>
      </c>
      <c r="E52" s="15" t="str">
        <f aca="false">IF(B52="","",SUMIF(Recipes!$I$6:$I$305,INDEX(Recipes!$I$6:$I$305,MATCH(B52,Recipes!$J$6:$J$305,0)),Recipes!$H$6:$H$305))</f>
        <v/>
      </c>
      <c r="F52" s="12" t="str">
        <f aca="false">IF(B52="","",TRIM(INDEX(Recipes!$D$6:$D$305,MATCH(B52,Recipes!$J$6:$J$305,0))))</f>
        <v/>
      </c>
      <c r="G52" s="12"/>
    </row>
    <row r="53" customFormat="false" ht="15" hidden="false" customHeight="false" outlineLevel="0" collapsed="false">
      <c r="A53" s="12" t="str">
        <f aca="false">IF(B53="","",48)</f>
        <v/>
      </c>
      <c r="B53" s="0" t="str">
        <f aca="false">IFERROR(SMALL(Recipes!$J$6:$J$305,48),"")</f>
        <v/>
      </c>
      <c r="C53" s="14" t="str">
        <f aca="false">IF(B53="","",IF(INDEX(Recipes!$E$6:$E$305,MATCH(B53,Recipes!$J$6:$J$305,0))="","Other",INDEX(Recipes!$E$6:$E$305,MATCH(B53,Recipes!$J$6:$J$305,0))))</f>
        <v/>
      </c>
      <c r="D53" s="12" t="str">
        <f aca="false">IF(B53="","",TRIM(INDEX(Recipes!$B$6:$B$305,MATCH(B53,Recipes!$J$6:$J$305,0))))</f>
        <v/>
      </c>
      <c r="E53" s="15" t="str">
        <f aca="false">IF(B53="","",SUMIF(Recipes!$I$6:$I$305,INDEX(Recipes!$I$6:$I$305,MATCH(B53,Recipes!$J$6:$J$305,0)),Recipes!$H$6:$H$305))</f>
        <v/>
      </c>
      <c r="F53" s="12" t="str">
        <f aca="false">IF(B53="","",TRIM(INDEX(Recipes!$D$6:$D$305,MATCH(B53,Recipes!$J$6:$J$305,0))))</f>
        <v/>
      </c>
      <c r="G53" s="12"/>
    </row>
    <row r="54" customFormat="false" ht="15" hidden="false" customHeight="false" outlineLevel="0" collapsed="false">
      <c r="A54" s="12" t="str">
        <f aca="false">IF(B54="","",49)</f>
        <v/>
      </c>
      <c r="B54" s="0" t="str">
        <f aca="false">IFERROR(SMALL(Recipes!$J$6:$J$305,49),"")</f>
        <v/>
      </c>
      <c r="C54" s="14" t="str">
        <f aca="false">IF(B54="","",IF(INDEX(Recipes!$E$6:$E$305,MATCH(B54,Recipes!$J$6:$J$305,0))="","Other",INDEX(Recipes!$E$6:$E$305,MATCH(B54,Recipes!$J$6:$J$305,0))))</f>
        <v/>
      </c>
      <c r="D54" s="12" t="str">
        <f aca="false">IF(B54="","",TRIM(INDEX(Recipes!$B$6:$B$305,MATCH(B54,Recipes!$J$6:$J$305,0))))</f>
        <v/>
      </c>
      <c r="E54" s="15" t="str">
        <f aca="false">IF(B54="","",SUMIF(Recipes!$I$6:$I$305,INDEX(Recipes!$I$6:$I$305,MATCH(B54,Recipes!$J$6:$J$305,0)),Recipes!$H$6:$H$305))</f>
        <v/>
      </c>
      <c r="F54" s="12" t="str">
        <f aca="false">IF(B54="","",TRIM(INDEX(Recipes!$D$6:$D$305,MATCH(B54,Recipes!$J$6:$J$305,0))))</f>
        <v/>
      </c>
      <c r="G54" s="12"/>
    </row>
    <row r="55" customFormat="false" ht="15" hidden="false" customHeight="false" outlineLevel="0" collapsed="false">
      <c r="A55" s="12" t="str">
        <f aca="false">IF(B55="","",50)</f>
        <v/>
      </c>
      <c r="B55" s="0" t="str">
        <f aca="false">IFERROR(SMALL(Recipes!$J$6:$J$305,50),"")</f>
        <v/>
      </c>
      <c r="C55" s="14" t="str">
        <f aca="false">IF(B55="","",IF(INDEX(Recipes!$E$6:$E$305,MATCH(B55,Recipes!$J$6:$J$305,0))="","Other",INDEX(Recipes!$E$6:$E$305,MATCH(B55,Recipes!$J$6:$J$305,0))))</f>
        <v/>
      </c>
      <c r="D55" s="12" t="str">
        <f aca="false">IF(B55="","",TRIM(INDEX(Recipes!$B$6:$B$305,MATCH(B55,Recipes!$J$6:$J$305,0))))</f>
        <v/>
      </c>
      <c r="E55" s="15" t="str">
        <f aca="false">IF(B55="","",SUMIF(Recipes!$I$6:$I$305,INDEX(Recipes!$I$6:$I$305,MATCH(B55,Recipes!$J$6:$J$305,0)),Recipes!$H$6:$H$305))</f>
        <v/>
      </c>
      <c r="F55" s="12" t="str">
        <f aca="false">IF(B55="","",TRIM(INDEX(Recipes!$D$6:$D$305,MATCH(B55,Recipes!$J$6:$J$305,0))))</f>
        <v/>
      </c>
      <c r="G55" s="12"/>
    </row>
    <row r="56" customFormat="false" ht="15" hidden="false" customHeight="false" outlineLevel="0" collapsed="false">
      <c r="A56" s="12" t="str">
        <f aca="false">IF(B56="","",51)</f>
        <v/>
      </c>
      <c r="B56" s="0" t="str">
        <f aca="false">IFERROR(SMALL(Recipes!$J$6:$J$305,51),"")</f>
        <v/>
      </c>
      <c r="C56" s="14" t="str">
        <f aca="false">IF(B56="","",IF(INDEX(Recipes!$E$6:$E$305,MATCH(B56,Recipes!$J$6:$J$305,0))="","Other",INDEX(Recipes!$E$6:$E$305,MATCH(B56,Recipes!$J$6:$J$305,0))))</f>
        <v/>
      </c>
      <c r="D56" s="12" t="str">
        <f aca="false">IF(B56="","",TRIM(INDEX(Recipes!$B$6:$B$305,MATCH(B56,Recipes!$J$6:$J$305,0))))</f>
        <v/>
      </c>
      <c r="E56" s="15" t="str">
        <f aca="false">IF(B56="","",SUMIF(Recipes!$I$6:$I$305,INDEX(Recipes!$I$6:$I$305,MATCH(B56,Recipes!$J$6:$J$305,0)),Recipes!$H$6:$H$305))</f>
        <v/>
      </c>
      <c r="F56" s="12" t="str">
        <f aca="false">IF(B56="","",TRIM(INDEX(Recipes!$D$6:$D$305,MATCH(B56,Recipes!$J$6:$J$305,0))))</f>
        <v/>
      </c>
      <c r="G56" s="12"/>
    </row>
    <row r="57" customFormat="false" ht="15" hidden="false" customHeight="false" outlineLevel="0" collapsed="false">
      <c r="A57" s="12" t="str">
        <f aca="false">IF(B57="","",52)</f>
        <v/>
      </c>
      <c r="B57" s="0" t="str">
        <f aca="false">IFERROR(SMALL(Recipes!$J$6:$J$305,52),"")</f>
        <v/>
      </c>
      <c r="C57" s="14" t="str">
        <f aca="false">IF(B57="","",IF(INDEX(Recipes!$E$6:$E$305,MATCH(B57,Recipes!$J$6:$J$305,0))="","Other",INDEX(Recipes!$E$6:$E$305,MATCH(B57,Recipes!$J$6:$J$305,0))))</f>
        <v/>
      </c>
      <c r="D57" s="12" t="str">
        <f aca="false">IF(B57="","",TRIM(INDEX(Recipes!$B$6:$B$305,MATCH(B57,Recipes!$J$6:$J$305,0))))</f>
        <v/>
      </c>
      <c r="E57" s="15" t="str">
        <f aca="false">IF(B57="","",SUMIF(Recipes!$I$6:$I$305,INDEX(Recipes!$I$6:$I$305,MATCH(B57,Recipes!$J$6:$J$305,0)),Recipes!$H$6:$H$305))</f>
        <v/>
      </c>
      <c r="F57" s="12" t="str">
        <f aca="false">IF(B57="","",TRIM(INDEX(Recipes!$D$6:$D$305,MATCH(B57,Recipes!$J$6:$J$305,0))))</f>
        <v/>
      </c>
      <c r="G57" s="12"/>
    </row>
    <row r="58" customFormat="false" ht="15" hidden="false" customHeight="false" outlineLevel="0" collapsed="false">
      <c r="A58" s="12" t="str">
        <f aca="false">IF(B58="","",53)</f>
        <v/>
      </c>
      <c r="B58" s="0" t="str">
        <f aca="false">IFERROR(SMALL(Recipes!$J$6:$J$305,53),"")</f>
        <v/>
      </c>
      <c r="C58" s="14" t="str">
        <f aca="false">IF(B58="","",IF(INDEX(Recipes!$E$6:$E$305,MATCH(B58,Recipes!$J$6:$J$305,0))="","Other",INDEX(Recipes!$E$6:$E$305,MATCH(B58,Recipes!$J$6:$J$305,0))))</f>
        <v/>
      </c>
      <c r="D58" s="12" t="str">
        <f aca="false">IF(B58="","",TRIM(INDEX(Recipes!$B$6:$B$305,MATCH(B58,Recipes!$J$6:$J$305,0))))</f>
        <v/>
      </c>
      <c r="E58" s="15" t="str">
        <f aca="false">IF(B58="","",SUMIF(Recipes!$I$6:$I$305,INDEX(Recipes!$I$6:$I$305,MATCH(B58,Recipes!$J$6:$J$305,0)),Recipes!$H$6:$H$305))</f>
        <v/>
      </c>
      <c r="F58" s="12" t="str">
        <f aca="false">IF(B58="","",TRIM(INDEX(Recipes!$D$6:$D$305,MATCH(B58,Recipes!$J$6:$J$305,0))))</f>
        <v/>
      </c>
      <c r="G58" s="12"/>
    </row>
    <row r="59" customFormat="false" ht="15" hidden="false" customHeight="false" outlineLevel="0" collapsed="false">
      <c r="A59" s="12" t="str">
        <f aca="false">IF(B59="","",54)</f>
        <v/>
      </c>
      <c r="B59" s="0" t="str">
        <f aca="false">IFERROR(SMALL(Recipes!$J$6:$J$305,54),"")</f>
        <v/>
      </c>
      <c r="C59" s="14" t="str">
        <f aca="false">IF(B59="","",IF(INDEX(Recipes!$E$6:$E$305,MATCH(B59,Recipes!$J$6:$J$305,0))="","Other",INDEX(Recipes!$E$6:$E$305,MATCH(B59,Recipes!$J$6:$J$305,0))))</f>
        <v/>
      </c>
      <c r="D59" s="12" t="str">
        <f aca="false">IF(B59="","",TRIM(INDEX(Recipes!$B$6:$B$305,MATCH(B59,Recipes!$J$6:$J$305,0))))</f>
        <v/>
      </c>
      <c r="E59" s="15" t="str">
        <f aca="false">IF(B59="","",SUMIF(Recipes!$I$6:$I$305,INDEX(Recipes!$I$6:$I$305,MATCH(B59,Recipes!$J$6:$J$305,0)),Recipes!$H$6:$H$305))</f>
        <v/>
      </c>
      <c r="F59" s="12" t="str">
        <f aca="false">IF(B59="","",TRIM(INDEX(Recipes!$D$6:$D$305,MATCH(B59,Recipes!$J$6:$J$305,0))))</f>
        <v/>
      </c>
      <c r="G59" s="12"/>
    </row>
    <row r="60" customFormat="false" ht="15" hidden="false" customHeight="false" outlineLevel="0" collapsed="false">
      <c r="A60" s="12" t="str">
        <f aca="false">IF(B60="","",55)</f>
        <v/>
      </c>
      <c r="B60" s="0" t="str">
        <f aca="false">IFERROR(SMALL(Recipes!$J$6:$J$305,55),"")</f>
        <v/>
      </c>
      <c r="C60" s="14" t="str">
        <f aca="false">IF(B60="","",IF(INDEX(Recipes!$E$6:$E$305,MATCH(B60,Recipes!$J$6:$J$305,0))="","Other",INDEX(Recipes!$E$6:$E$305,MATCH(B60,Recipes!$J$6:$J$305,0))))</f>
        <v/>
      </c>
      <c r="D60" s="12" t="str">
        <f aca="false">IF(B60="","",TRIM(INDEX(Recipes!$B$6:$B$305,MATCH(B60,Recipes!$J$6:$J$305,0))))</f>
        <v/>
      </c>
      <c r="E60" s="15" t="str">
        <f aca="false">IF(B60="","",SUMIF(Recipes!$I$6:$I$305,INDEX(Recipes!$I$6:$I$305,MATCH(B60,Recipes!$J$6:$J$305,0)),Recipes!$H$6:$H$305))</f>
        <v/>
      </c>
      <c r="F60" s="12" t="str">
        <f aca="false">IF(B60="","",TRIM(INDEX(Recipes!$D$6:$D$305,MATCH(B60,Recipes!$J$6:$J$305,0))))</f>
        <v/>
      </c>
      <c r="G60" s="12"/>
    </row>
    <row r="61" customFormat="false" ht="15" hidden="false" customHeight="false" outlineLevel="0" collapsed="false">
      <c r="A61" s="12" t="str">
        <f aca="false">IF(B61="","",56)</f>
        <v/>
      </c>
      <c r="B61" s="0" t="str">
        <f aca="false">IFERROR(SMALL(Recipes!$J$6:$J$305,56),"")</f>
        <v/>
      </c>
      <c r="C61" s="14" t="str">
        <f aca="false">IF(B61="","",IF(INDEX(Recipes!$E$6:$E$305,MATCH(B61,Recipes!$J$6:$J$305,0))="","Other",INDEX(Recipes!$E$6:$E$305,MATCH(B61,Recipes!$J$6:$J$305,0))))</f>
        <v/>
      </c>
      <c r="D61" s="12" t="str">
        <f aca="false">IF(B61="","",TRIM(INDEX(Recipes!$B$6:$B$305,MATCH(B61,Recipes!$J$6:$J$305,0))))</f>
        <v/>
      </c>
      <c r="E61" s="15" t="str">
        <f aca="false">IF(B61="","",SUMIF(Recipes!$I$6:$I$305,INDEX(Recipes!$I$6:$I$305,MATCH(B61,Recipes!$J$6:$J$305,0)),Recipes!$H$6:$H$305))</f>
        <v/>
      </c>
      <c r="F61" s="12" t="str">
        <f aca="false">IF(B61="","",TRIM(INDEX(Recipes!$D$6:$D$305,MATCH(B61,Recipes!$J$6:$J$305,0))))</f>
        <v/>
      </c>
      <c r="G61" s="12"/>
    </row>
    <row r="62" customFormat="false" ht="15" hidden="false" customHeight="false" outlineLevel="0" collapsed="false">
      <c r="A62" s="12" t="str">
        <f aca="false">IF(B62="","",57)</f>
        <v/>
      </c>
      <c r="B62" s="0" t="str">
        <f aca="false">IFERROR(SMALL(Recipes!$J$6:$J$305,57),"")</f>
        <v/>
      </c>
      <c r="C62" s="14" t="str">
        <f aca="false">IF(B62="","",IF(INDEX(Recipes!$E$6:$E$305,MATCH(B62,Recipes!$J$6:$J$305,0))="","Other",INDEX(Recipes!$E$6:$E$305,MATCH(B62,Recipes!$J$6:$J$305,0))))</f>
        <v/>
      </c>
      <c r="D62" s="12" t="str">
        <f aca="false">IF(B62="","",TRIM(INDEX(Recipes!$B$6:$B$305,MATCH(B62,Recipes!$J$6:$J$305,0))))</f>
        <v/>
      </c>
      <c r="E62" s="15" t="str">
        <f aca="false">IF(B62="","",SUMIF(Recipes!$I$6:$I$305,INDEX(Recipes!$I$6:$I$305,MATCH(B62,Recipes!$J$6:$J$305,0)),Recipes!$H$6:$H$305))</f>
        <v/>
      </c>
      <c r="F62" s="12" t="str">
        <f aca="false">IF(B62="","",TRIM(INDEX(Recipes!$D$6:$D$305,MATCH(B62,Recipes!$J$6:$J$305,0))))</f>
        <v/>
      </c>
      <c r="G62" s="12"/>
    </row>
    <row r="63" customFormat="false" ht="15" hidden="false" customHeight="false" outlineLevel="0" collapsed="false">
      <c r="A63" s="12" t="str">
        <f aca="false">IF(B63="","",58)</f>
        <v/>
      </c>
      <c r="B63" s="0" t="str">
        <f aca="false">IFERROR(SMALL(Recipes!$J$6:$J$305,58),"")</f>
        <v/>
      </c>
      <c r="C63" s="14" t="str">
        <f aca="false">IF(B63="","",IF(INDEX(Recipes!$E$6:$E$305,MATCH(B63,Recipes!$J$6:$J$305,0))="","Other",INDEX(Recipes!$E$6:$E$305,MATCH(B63,Recipes!$J$6:$J$305,0))))</f>
        <v/>
      </c>
      <c r="D63" s="12" t="str">
        <f aca="false">IF(B63="","",TRIM(INDEX(Recipes!$B$6:$B$305,MATCH(B63,Recipes!$J$6:$J$305,0))))</f>
        <v/>
      </c>
      <c r="E63" s="15" t="str">
        <f aca="false">IF(B63="","",SUMIF(Recipes!$I$6:$I$305,INDEX(Recipes!$I$6:$I$305,MATCH(B63,Recipes!$J$6:$J$305,0)),Recipes!$H$6:$H$305))</f>
        <v/>
      </c>
      <c r="F63" s="12" t="str">
        <f aca="false">IF(B63="","",TRIM(INDEX(Recipes!$D$6:$D$305,MATCH(B63,Recipes!$J$6:$J$305,0))))</f>
        <v/>
      </c>
      <c r="G63" s="12"/>
    </row>
    <row r="64" customFormat="false" ht="15" hidden="false" customHeight="false" outlineLevel="0" collapsed="false">
      <c r="A64" s="12" t="str">
        <f aca="false">IF(B64="","",59)</f>
        <v/>
      </c>
      <c r="B64" s="0" t="str">
        <f aca="false">IFERROR(SMALL(Recipes!$J$6:$J$305,59),"")</f>
        <v/>
      </c>
      <c r="C64" s="14" t="str">
        <f aca="false">IF(B64="","",IF(INDEX(Recipes!$E$6:$E$305,MATCH(B64,Recipes!$J$6:$J$305,0))="","Other",INDEX(Recipes!$E$6:$E$305,MATCH(B64,Recipes!$J$6:$J$305,0))))</f>
        <v/>
      </c>
      <c r="D64" s="12" t="str">
        <f aca="false">IF(B64="","",TRIM(INDEX(Recipes!$B$6:$B$305,MATCH(B64,Recipes!$J$6:$J$305,0))))</f>
        <v/>
      </c>
      <c r="E64" s="15" t="str">
        <f aca="false">IF(B64="","",SUMIF(Recipes!$I$6:$I$305,INDEX(Recipes!$I$6:$I$305,MATCH(B64,Recipes!$J$6:$J$305,0)),Recipes!$H$6:$H$305))</f>
        <v/>
      </c>
      <c r="F64" s="12" t="str">
        <f aca="false">IF(B64="","",TRIM(INDEX(Recipes!$D$6:$D$305,MATCH(B64,Recipes!$J$6:$J$305,0))))</f>
        <v/>
      </c>
      <c r="G64" s="12"/>
    </row>
    <row r="65" customFormat="false" ht="15" hidden="false" customHeight="false" outlineLevel="0" collapsed="false">
      <c r="A65" s="12" t="str">
        <f aca="false">IF(B65="","",60)</f>
        <v/>
      </c>
      <c r="B65" s="0" t="str">
        <f aca="false">IFERROR(SMALL(Recipes!$J$6:$J$305,60),"")</f>
        <v/>
      </c>
      <c r="C65" s="14" t="str">
        <f aca="false">IF(B65="","",IF(INDEX(Recipes!$E$6:$E$305,MATCH(B65,Recipes!$J$6:$J$305,0))="","Other",INDEX(Recipes!$E$6:$E$305,MATCH(B65,Recipes!$J$6:$J$305,0))))</f>
        <v/>
      </c>
      <c r="D65" s="12" t="str">
        <f aca="false">IF(B65="","",TRIM(INDEX(Recipes!$B$6:$B$305,MATCH(B65,Recipes!$J$6:$J$305,0))))</f>
        <v/>
      </c>
      <c r="E65" s="15" t="str">
        <f aca="false">IF(B65="","",SUMIF(Recipes!$I$6:$I$305,INDEX(Recipes!$I$6:$I$305,MATCH(B65,Recipes!$J$6:$J$305,0)),Recipes!$H$6:$H$305))</f>
        <v/>
      </c>
      <c r="F65" s="12" t="str">
        <f aca="false">IF(B65="","",TRIM(INDEX(Recipes!$D$6:$D$305,MATCH(B65,Recipes!$J$6:$J$305,0))))</f>
        <v/>
      </c>
      <c r="G65" s="12"/>
    </row>
    <row r="66" customFormat="false" ht="15" hidden="false" customHeight="false" outlineLevel="0" collapsed="false">
      <c r="A66" s="12" t="str">
        <f aca="false">IF(B66="","",61)</f>
        <v/>
      </c>
      <c r="B66" s="0" t="str">
        <f aca="false">IFERROR(SMALL(Recipes!$J$6:$J$305,61),"")</f>
        <v/>
      </c>
      <c r="C66" s="14" t="str">
        <f aca="false">IF(B66="","",IF(INDEX(Recipes!$E$6:$E$305,MATCH(B66,Recipes!$J$6:$J$305,0))="","Other",INDEX(Recipes!$E$6:$E$305,MATCH(B66,Recipes!$J$6:$J$305,0))))</f>
        <v/>
      </c>
      <c r="D66" s="12" t="str">
        <f aca="false">IF(B66="","",TRIM(INDEX(Recipes!$B$6:$B$305,MATCH(B66,Recipes!$J$6:$J$305,0))))</f>
        <v/>
      </c>
      <c r="E66" s="15" t="str">
        <f aca="false">IF(B66="","",SUMIF(Recipes!$I$6:$I$305,INDEX(Recipes!$I$6:$I$305,MATCH(B66,Recipes!$J$6:$J$305,0)),Recipes!$H$6:$H$305))</f>
        <v/>
      </c>
      <c r="F66" s="12" t="str">
        <f aca="false">IF(B66="","",TRIM(INDEX(Recipes!$D$6:$D$305,MATCH(B66,Recipes!$J$6:$J$305,0))))</f>
        <v/>
      </c>
      <c r="G66" s="12"/>
    </row>
    <row r="67" customFormat="false" ht="15" hidden="false" customHeight="false" outlineLevel="0" collapsed="false">
      <c r="A67" s="12" t="str">
        <f aca="false">IF(B67="","",62)</f>
        <v/>
      </c>
      <c r="B67" s="0" t="str">
        <f aca="false">IFERROR(SMALL(Recipes!$J$6:$J$305,62),"")</f>
        <v/>
      </c>
      <c r="C67" s="14" t="str">
        <f aca="false">IF(B67="","",IF(INDEX(Recipes!$E$6:$E$305,MATCH(B67,Recipes!$J$6:$J$305,0))="","Other",INDEX(Recipes!$E$6:$E$305,MATCH(B67,Recipes!$J$6:$J$305,0))))</f>
        <v/>
      </c>
      <c r="D67" s="12" t="str">
        <f aca="false">IF(B67="","",TRIM(INDEX(Recipes!$B$6:$B$305,MATCH(B67,Recipes!$J$6:$J$305,0))))</f>
        <v/>
      </c>
      <c r="E67" s="15" t="str">
        <f aca="false">IF(B67="","",SUMIF(Recipes!$I$6:$I$305,INDEX(Recipes!$I$6:$I$305,MATCH(B67,Recipes!$J$6:$J$305,0)),Recipes!$H$6:$H$305))</f>
        <v/>
      </c>
      <c r="F67" s="12" t="str">
        <f aca="false">IF(B67="","",TRIM(INDEX(Recipes!$D$6:$D$305,MATCH(B67,Recipes!$J$6:$J$305,0))))</f>
        <v/>
      </c>
      <c r="G67" s="12"/>
    </row>
    <row r="68" customFormat="false" ht="15" hidden="false" customHeight="false" outlineLevel="0" collapsed="false">
      <c r="A68" s="12" t="str">
        <f aca="false">IF(B68="","",63)</f>
        <v/>
      </c>
      <c r="B68" s="0" t="str">
        <f aca="false">IFERROR(SMALL(Recipes!$J$6:$J$305,63),"")</f>
        <v/>
      </c>
      <c r="C68" s="14" t="str">
        <f aca="false">IF(B68="","",IF(INDEX(Recipes!$E$6:$E$305,MATCH(B68,Recipes!$J$6:$J$305,0))="","Other",INDEX(Recipes!$E$6:$E$305,MATCH(B68,Recipes!$J$6:$J$305,0))))</f>
        <v/>
      </c>
      <c r="D68" s="12" t="str">
        <f aca="false">IF(B68="","",TRIM(INDEX(Recipes!$B$6:$B$305,MATCH(B68,Recipes!$J$6:$J$305,0))))</f>
        <v/>
      </c>
      <c r="E68" s="15" t="str">
        <f aca="false">IF(B68="","",SUMIF(Recipes!$I$6:$I$305,INDEX(Recipes!$I$6:$I$305,MATCH(B68,Recipes!$J$6:$J$305,0)),Recipes!$H$6:$H$305))</f>
        <v/>
      </c>
      <c r="F68" s="12" t="str">
        <f aca="false">IF(B68="","",TRIM(INDEX(Recipes!$D$6:$D$305,MATCH(B68,Recipes!$J$6:$J$305,0))))</f>
        <v/>
      </c>
      <c r="G68" s="12"/>
    </row>
    <row r="69" customFormat="false" ht="15" hidden="false" customHeight="false" outlineLevel="0" collapsed="false">
      <c r="A69" s="12" t="str">
        <f aca="false">IF(B69="","",64)</f>
        <v/>
      </c>
      <c r="B69" s="0" t="str">
        <f aca="false">IFERROR(SMALL(Recipes!$J$6:$J$305,64),"")</f>
        <v/>
      </c>
      <c r="C69" s="14" t="str">
        <f aca="false">IF(B69="","",IF(INDEX(Recipes!$E$6:$E$305,MATCH(B69,Recipes!$J$6:$J$305,0))="","Other",INDEX(Recipes!$E$6:$E$305,MATCH(B69,Recipes!$J$6:$J$305,0))))</f>
        <v/>
      </c>
      <c r="D69" s="12" t="str">
        <f aca="false">IF(B69="","",TRIM(INDEX(Recipes!$B$6:$B$305,MATCH(B69,Recipes!$J$6:$J$305,0))))</f>
        <v/>
      </c>
      <c r="E69" s="15" t="str">
        <f aca="false">IF(B69="","",SUMIF(Recipes!$I$6:$I$305,INDEX(Recipes!$I$6:$I$305,MATCH(B69,Recipes!$J$6:$J$305,0)),Recipes!$H$6:$H$305))</f>
        <v/>
      </c>
      <c r="F69" s="12" t="str">
        <f aca="false">IF(B69="","",TRIM(INDEX(Recipes!$D$6:$D$305,MATCH(B69,Recipes!$J$6:$J$305,0))))</f>
        <v/>
      </c>
      <c r="G69" s="12"/>
    </row>
    <row r="70" customFormat="false" ht="15" hidden="false" customHeight="false" outlineLevel="0" collapsed="false">
      <c r="A70" s="12" t="str">
        <f aca="false">IF(B70="","",65)</f>
        <v/>
      </c>
      <c r="B70" s="0" t="str">
        <f aca="false">IFERROR(SMALL(Recipes!$J$6:$J$305,65),"")</f>
        <v/>
      </c>
      <c r="C70" s="14" t="str">
        <f aca="false">IF(B70="","",IF(INDEX(Recipes!$E$6:$E$305,MATCH(B70,Recipes!$J$6:$J$305,0))="","Other",INDEX(Recipes!$E$6:$E$305,MATCH(B70,Recipes!$J$6:$J$305,0))))</f>
        <v/>
      </c>
      <c r="D70" s="12" t="str">
        <f aca="false">IF(B70="","",TRIM(INDEX(Recipes!$B$6:$B$305,MATCH(B70,Recipes!$J$6:$J$305,0))))</f>
        <v/>
      </c>
      <c r="E70" s="15" t="str">
        <f aca="false">IF(B70="","",SUMIF(Recipes!$I$6:$I$305,INDEX(Recipes!$I$6:$I$305,MATCH(B70,Recipes!$J$6:$J$305,0)),Recipes!$H$6:$H$305))</f>
        <v/>
      </c>
      <c r="F70" s="12" t="str">
        <f aca="false">IF(B70="","",TRIM(INDEX(Recipes!$D$6:$D$305,MATCH(B70,Recipes!$J$6:$J$305,0))))</f>
        <v/>
      </c>
      <c r="G70" s="12"/>
    </row>
    <row r="71" customFormat="false" ht="15" hidden="false" customHeight="false" outlineLevel="0" collapsed="false">
      <c r="A71" s="12" t="str">
        <f aca="false">IF(B71="","",66)</f>
        <v/>
      </c>
      <c r="B71" s="0" t="str">
        <f aca="false">IFERROR(SMALL(Recipes!$J$6:$J$305,66),"")</f>
        <v/>
      </c>
      <c r="C71" s="14" t="str">
        <f aca="false">IF(B71="","",IF(INDEX(Recipes!$E$6:$E$305,MATCH(B71,Recipes!$J$6:$J$305,0))="","Other",INDEX(Recipes!$E$6:$E$305,MATCH(B71,Recipes!$J$6:$J$305,0))))</f>
        <v/>
      </c>
      <c r="D71" s="12" t="str">
        <f aca="false">IF(B71="","",TRIM(INDEX(Recipes!$B$6:$B$305,MATCH(B71,Recipes!$J$6:$J$305,0))))</f>
        <v/>
      </c>
      <c r="E71" s="15" t="str">
        <f aca="false">IF(B71="","",SUMIF(Recipes!$I$6:$I$305,INDEX(Recipes!$I$6:$I$305,MATCH(B71,Recipes!$J$6:$J$305,0)),Recipes!$H$6:$H$305))</f>
        <v/>
      </c>
      <c r="F71" s="12" t="str">
        <f aca="false">IF(B71="","",TRIM(INDEX(Recipes!$D$6:$D$305,MATCH(B71,Recipes!$J$6:$J$305,0))))</f>
        <v/>
      </c>
      <c r="G71" s="12"/>
    </row>
    <row r="72" customFormat="false" ht="15" hidden="false" customHeight="false" outlineLevel="0" collapsed="false">
      <c r="A72" s="12" t="str">
        <f aca="false">IF(B72="","",67)</f>
        <v/>
      </c>
      <c r="B72" s="0" t="str">
        <f aca="false">IFERROR(SMALL(Recipes!$J$6:$J$305,67),"")</f>
        <v/>
      </c>
      <c r="C72" s="14" t="str">
        <f aca="false">IF(B72="","",IF(INDEX(Recipes!$E$6:$E$305,MATCH(B72,Recipes!$J$6:$J$305,0))="","Other",INDEX(Recipes!$E$6:$E$305,MATCH(B72,Recipes!$J$6:$J$305,0))))</f>
        <v/>
      </c>
      <c r="D72" s="12" t="str">
        <f aca="false">IF(B72="","",TRIM(INDEX(Recipes!$B$6:$B$305,MATCH(B72,Recipes!$J$6:$J$305,0))))</f>
        <v/>
      </c>
      <c r="E72" s="15" t="str">
        <f aca="false">IF(B72="","",SUMIF(Recipes!$I$6:$I$305,INDEX(Recipes!$I$6:$I$305,MATCH(B72,Recipes!$J$6:$J$305,0)),Recipes!$H$6:$H$305))</f>
        <v/>
      </c>
      <c r="F72" s="12" t="str">
        <f aca="false">IF(B72="","",TRIM(INDEX(Recipes!$D$6:$D$305,MATCH(B72,Recipes!$J$6:$J$305,0))))</f>
        <v/>
      </c>
      <c r="G72" s="12"/>
    </row>
    <row r="73" customFormat="false" ht="15" hidden="false" customHeight="false" outlineLevel="0" collapsed="false">
      <c r="A73" s="12" t="str">
        <f aca="false">IF(B73="","",68)</f>
        <v/>
      </c>
      <c r="B73" s="0" t="str">
        <f aca="false">IFERROR(SMALL(Recipes!$J$6:$J$305,68),"")</f>
        <v/>
      </c>
      <c r="C73" s="14" t="str">
        <f aca="false">IF(B73="","",IF(INDEX(Recipes!$E$6:$E$305,MATCH(B73,Recipes!$J$6:$J$305,0))="","Other",INDEX(Recipes!$E$6:$E$305,MATCH(B73,Recipes!$J$6:$J$305,0))))</f>
        <v/>
      </c>
      <c r="D73" s="12" t="str">
        <f aca="false">IF(B73="","",TRIM(INDEX(Recipes!$B$6:$B$305,MATCH(B73,Recipes!$J$6:$J$305,0))))</f>
        <v/>
      </c>
      <c r="E73" s="15" t="str">
        <f aca="false">IF(B73="","",SUMIF(Recipes!$I$6:$I$305,INDEX(Recipes!$I$6:$I$305,MATCH(B73,Recipes!$J$6:$J$305,0)),Recipes!$H$6:$H$305))</f>
        <v/>
      </c>
      <c r="F73" s="12" t="str">
        <f aca="false">IF(B73="","",TRIM(INDEX(Recipes!$D$6:$D$305,MATCH(B73,Recipes!$J$6:$J$305,0))))</f>
        <v/>
      </c>
      <c r="G73" s="12"/>
    </row>
    <row r="74" customFormat="false" ht="15" hidden="false" customHeight="false" outlineLevel="0" collapsed="false">
      <c r="A74" s="12" t="str">
        <f aca="false">IF(B74="","",69)</f>
        <v/>
      </c>
      <c r="B74" s="0" t="str">
        <f aca="false">IFERROR(SMALL(Recipes!$J$6:$J$305,69),"")</f>
        <v/>
      </c>
      <c r="C74" s="14" t="str">
        <f aca="false">IF(B74="","",IF(INDEX(Recipes!$E$6:$E$305,MATCH(B74,Recipes!$J$6:$J$305,0))="","Other",INDEX(Recipes!$E$6:$E$305,MATCH(B74,Recipes!$J$6:$J$305,0))))</f>
        <v/>
      </c>
      <c r="D74" s="12" t="str">
        <f aca="false">IF(B74="","",TRIM(INDEX(Recipes!$B$6:$B$305,MATCH(B74,Recipes!$J$6:$J$305,0))))</f>
        <v/>
      </c>
      <c r="E74" s="15" t="str">
        <f aca="false">IF(B74="","",SUMIF(Recipes!$I$6:$I$305,INDEX(Recipes!$I$6:$I$305,MATCH(B74,Recipes!$J$6:$J$305,0)),Recipes!$H$6:$H$305))</f>
        <v/>
      </c>
      <c r="F74" s="12" t="str">
        <f aca="false">IF(B74="","",TRIM(INDEX(Recipes!$D$6:$D$305,MATCH(B74,Recipes!$J$6:$J$305,0))))</f>
        <v/>
      </c>
      <c r="G74" s="12"/>
    </row>
    <row r="75" customFormat="false" ht="15" hidden="false" customHeight="false" outlineLevel="0" collapsed="false">
      <c r="A75" s="12" t="str">
        <f aca="false">IF(B75="","",70)</f>
        <v/>
      </c>
      <c r="B75" s="0" t="str">
        <f aca="false">IFERROR(SMALL(Recipes!$J$6:$J$305,70),"")</f>
        <v/>
      </c>
      <c r="C75" s="14" t="str">
        <f aca="false">IF(B75="","",IF(INDEX(Recipes!$E$6:$E$305,MATCH(B75,Recipes!$J$6:$J$305,0))="","Other",INDEX(Recipes!$E$6:$E$305,MATCH(B75,Recipes!$J$6:$J$305,0))))</f>
        <v/>
      </c>
      <c r="D75" s="12" t="str">
        <f aca="false">IF(B75="","",TRIM(INDEX(Recipes!$B$6:$B$305,MATCH(B75,Recipes!$J$6:$J$305,0))))</f>
        <v/>
      </c>
      <c r="E75" s="15" t="str">
        <f aca="false">IF(B75="","",SUMIF(Recipes!$I$6:$I$305,INDEX(Recipes!$I$6:$I$305,MATCH(B75,Recipes!$J$6:$J$305,0)),Recipes!$H$6:$H$305))</f>
        <v/>
      </c>
      <c r="F75" s="12" t="str">
        <f aca="false">IF(B75="","",TRIM(INDEX(Recipes!$D$6:$D$305,MATCH(B75,Recipes!$J$6:$J$305,0))))</f>
        <v/>
      </c>
      <c r="G75" s="12"/>
    </row>
    <row r="76" customFormat="false" ht="15" hidden="false" customHeight="false" outlineLevel="0" collapsed="false">
      <c r="A76" s="12" t="str">
        <f aca="false">IF(B76="","",71)</f>
        <v/>
      </c>
      <c r="B76" s="0" t="str">
        <f aca="false">IFERROR(SMALL(Recipes!$J$6:$J$305,71),"")</f>
        <v/>
      </c>
      <c r="C76" s="14" t="str">
        <f aca="false">IF(B76="","",IF(INDEX(Recipes!$E$6:$E$305,MATCH(B76,Recipes!$J$6:$J$305,0))="","Other",INDEX(Recipes!$E$6:$E$305,MATCH(B76,Recipes!$J$6:$J$305,0))))</f>
        <v/>
      </c>
      <c r="D76" s="12" t="str">
        <f aca="false">IF(B76="","",TRIM(INDEX(Recipes!$B$6:$B$305,MATCH(B76,Recipes!$J$6:$J$305,0))))</f>
        <v/>
      </c>
      <c r="E76" s="15" t="str">
        <f aca="false">IF(B76="","",SUMIF(Recipes!$I$6:$I$305,INDEX(Recipes!$I$6:$I$305,MATCH(B76,Recipes!$J$6:$J$305,0)),Recipes!$H$6:$H$305))</f>
        <v/>
      </c>
      <c r="F76" s="12" t="str">
        <f aca="false">IF(B76="","",TRIM(INDEX(Recipes!$D$6:$D$305,MATCH(B76,Recipes!$J$6:$J$305,0))))</f>
        <v/>
      </c>
      <c r="G76" s="12"/>
    </row>
    <row r="77" customFormat="false" ht="15" hidden="false" customHeight="false" outlineLevel="0" collapsed="false">
      <c r="A77" s="12" t="str">
        <f aca="false">IF(B77="","",72)</f>
        <v/>
      </c>
      <c r="B77" s="0" t="str">
        <f aca="false">IFERROR(SMALL(Recipes!$J$6:$J$305,72),"")</f>
        <v/>
      </c>
      <c r="C77" s="14" t="str">
        <f aca="false">IF(B77="","",IF(INDEX(Recipes!$E$6:$E$305,MATCH(B77,Recipes!$J$6:$J$305,0))="","Other",INDEX(Recipes!$E$6:$E$305,MATCH(B77,Recipes!$J$6:$J$305,0))))</f>
        <v/>
      </c>
      <c r="D77" s="12" t="str">
        <f aca="false">IF(B77="","",TRIM(INDEX(Recipes!$B$6:$B$305,MATCH(B77,Recipes!$J$6:$J$305,0))))</f>
        <v/>
      </c>
      <c r="E77" s="15" t="str">
        <f aca="false">IF(B77="","",SUMIF(Recipes!$I$6:$I$305,INDEX(Recipes!$I$6:$I$305,MATCH(B77,Recipes!$J$6:$J$305,0)),Recipes!$H$6:$H$305))</f>
        <v/>
      </c>
      <c r="F77" s="12" t="str">
        <f aca="false">IF(B77="","",TRIM(INDEX(Recipes!$D$6:$D$305,MATCH(B77,Recipes!$J$6:$J$305,0))))</f>
        <v/>
      </c>
      <c r="G77" s="12"/>
    </row>
    <row r="78" customFormat="false" ht="15" hidden="false" customHeight="false" outlineLevel="0" collapsed="false">
      <c r="A78" s="12" t="str">
        <f aca="false">IF(B78="","",73)</f>
        <v/>
      </c>
      <c r="B78" s="0" t="str">
        <f aca="false">IFERROR(SMALL(Recipes!$J$6:$J$305,73),"")</f>
        <v/>
      </c>
      <c r="C78" s="14" t="str">
        <f aca="false">IF(B78="","",IF(INDEX(Recipes!$E$6:$E$305,MATCH(B78,Recipes!$J$6:$J$305,0))="","Other",INDEX(Recipes!$E$6:$E$305,MATCH(B78,Recipes!$J$6:$J$305,0))))</f>
        <v/>
      </c>
      <c r="D78" s="12" t="str">
        <f aca="false">IF(B78="","",TRIM(INDEX(Recipes!$B$6:$B$305,MATCH(B78,Recipes!$J$6:$J$305,0))))</f>
        <v/>
      </c>
      <c r="E78" s="15" t="str">
        <f aca="false">IF(B78="","",SUMIF(Recipes!$I$6:$I$305,INDEX(Recipes!$I$6:$I$305,MATCH(B78,Recipes!$J$6:$J$305,0)),Recipes!$H$6:$H$305))</f>
        <v/>
      </c>
      <c r="F78" s="12" t="str">
        <f aca="false">IF(B78="","",TRIM(INDEX(Recipes!$D$6:$D$305,MATCH(B78,Recipes!$J$6:$J$305,0))))</f>
        <v/>
      </c>
      <c r="G78" s="12"/>
    </row>
    <row r="79" customFormat="false" ht="15" hidden="false" customHeight="false" outlineLevel="0" collapsed="false">
      <c r="A79" s="12" t="str">
        <f aca="false">IF(B79="","",74)</f>
        <v/>
      </c>
      <c r="B79" s="0" t="str">
        <f aca="false">IFERROR(SMALL(Recipes!$J$6:$J$305,74),"")</f>
        <v/>
      </c>
      <c r="C79" s="14" t="str">
        <f aca="false">IF(B79="","",IF(INDEX(Recipes!$E$6:$E$305,MATCH(B79,Recipes!$J$6:$J$305,0))="","Other",INDEX(Recipes!$E$6:$E$305,MATCH(B79,Recipes!$J$6:$J$305,0))))</f>
        <v/>
      </c>
      <c r="D79" s="12" t="str">
        <f aca="false">IF(B79="","",TRIM(INDEX(Recipes!$B$6:$B$305,MATCH(B79,Recipes!$J$6:$J$305,0))))</f>
        <v/>
      </c>
      <c r="E79" s="15" t="str">
        <f aca="false">IF(B79="","",SUMIF(Recipes!$I$6:$I$305,INDEX(Recipes!$I$6:$I$305,MATCH(B79,Recipes!$J$6:$J$305,0)),Recipes!$H$6:$H$305))</f>
        <v/>
      </c>
      <c r="F79" s="12" t="str">
        <f aca="false">IF(B79="","",TRIM(INDEX(Recipes!$D$6:$D$305,MATCH(B79,Recipes!$J$6:$J$305,0))))</f>
        <v/>
      </c>
      <c r="G79" s="12"/>
    </row>
    <row r="80" customFormat="false" ht="15" hidden="false" customHeight="false" outlineLevel="0" collapsed="false">
      <c r="A80" s="12" t="str">
        <f aca="false">IF(B80="","",75)</f>
        <v/>
      </c>
      <c r="B80" s="0" t="str">
        <f aca="false">IFERROR(SMALL(Recipes!$J$6:$J$305,75),"")</f>
        <v/>
      </c>
      <c r="C80" s="14" t="str">
        <f aca="false">IF(B80="","",IF(INDEX(Recipes!$E$6:$E$305,MATCH(B80,Recipes!$J$6:$J$305,0))="","Other",INDEX(Recipes!$E$6:$E$305,MATCH(B80,Recipes!$J$6:$J$305,0))))</f>
        <v/>
      </c>
      <c r="D80" s="12" t="str">
        <f aca="false">IF(B80="","",TRIM(INDEX(Recipes!$B$6:$B$305,MATCH(B80,Recipes!$J$6:$J$305,0))))</f>
        <v/>
      </c>
      <c r="E80" s="15" t="str">
        <f aca="false">IF(B80="","",SUMIF(Recipes!$I$6:$I$305,INDEX(Recipes!$I$6:$I$305,MATCH(B80,Recipes!$J$6:$J$305,0)),Recipes!$H$6:$H$305))</f>
        <v/>
      </c>
      <c r="F80" s="12" t="str">
        <f aca="false">IF(B80="","",TRIM(INDEX(Recipes!$D$6:$D$305,MATCH(B80,Recipes!$J$6:$J$305,0))))</f>
        <v/>
      </c>
      <c r="G80" s="12"/>
    </row>
    <row r="81" customFormat="false" ht="15" hidden="false" customHeight="false" outlineLevel="0" collapsed="false">
      <c r="A81" s="12" t="str">
        <f aca="false">IF(B81="","",76)</f>
        <v/>
      </c>
      <c r="B81" s="0" t="str">
        <f aca="false">IFERROR(SMALL(Recipes!$J$6:$J$305,76),"")</f>
        <v/>
      </c>
      <c r="C81" s="14" t="str">
        <f aca="false">IF(B81="","",IF(INDEX(Recipes!$E$6:$E$305,MATCH(B81,Recipes!$J$6:$J$305,0))="","Other",INDEX(Recipes!$E$6:$E$305,MATCH(B81,Recipes!$J$6:$J$305,0))))</f>
        <v/>
      </c>
      <c r="D81" s="12" t="str">
        <f aca="false">IF(B81="","",TRIM(INDEX(Recipes!$B$6:$B$305,MATCH(B81,Recipes!$J$6:$J$305,0))))</f>
        <v/>
      </c>
      <c r="E81" s="15" t="str">
        <f aca="false">IF(B81="","",SUMIF(Recipes!$I$6:$I$305,INDEX(Recipes!$I$6:$I$305,MATCH(B81,Recipes!$J$6:$J$305,0)),Recipes!$H$6:$H$305))</f>
        <v/>
      </c>
      <c r="F81" s="12" t="str">
        <f aca="false">IF(B81="","",TRIM(INDEX(Recipes!$D$6:$D$305,MATCH(B81,Recipes!$J$6:$J$305,0))))</f>
        <v/>
      </c>
      <c r="G81" s="12"/>
    </row>
    <row r="82" customFormat="false" ht="15" hidden="false" customHeight="false" outlineLevel="0" collapsed="false">
      <c r="A82" s="12" t="str">
        <f aca="false">IF(B82="","",77)</f>
        <v/>
      </c>
      <c r="B82" s="0" t="str">
        <f aca="false">IFERROR(SMALL(Recipes!$J$6:$J$305,77),"")</f>
        <v/>
      </c>
      <c r="C82" s="14" t="str">
        <f aca="false">IF(B82="","",IF(INDEX(Recipes!$E$6:$E$305,MATCH(B82,Recipes!$J$6:$J$305,0))="","Other",INDEX(Recipes!$E$6:$E$305,MATCH(B82,Recipes!$J$6:$J$305,0))))</f>
        <v/>
      </c>
      <c r="D82" s="12" t="str">
        <f aca="false">IF(B82="","",TRIM(INDEX(Recipes!$B$6:$B$305,MATCH(B82,Recipes!$J$6:$J$305,0))))</f>
        <v/>
      </c>
      <c r="E82" s="15" t="str">
        <f aca="false">IF(B82="","",SUMIF(Recipes!$I$6:$I$305,INDEX(Recipes!$I$6:$I$305,MATCH(B82,Recipes!$J$6:$J$305,0)),Recipes!$H$6:$H$305))</f>
        <v/>
      </c>
      <c r="F82" s="12" t="str">
        <f aca="false">IF(B82="","",TRIM(INDEX(Recipes!$D$6:$D$305,MATCH(B82,Recipes!$J$6:$J$305,0))))</f>
        <v/>
      </c>
      <c r="G82" s="12"/>
    </row>
    <row r="83" customFormat="false" ht="15" hidden="false" customHeight="false" outlineLevel="0" collapsed="false">
      <c r="A83" s="12" t="str">
        <f aca="false">IF(B83="","",78)</f>
        <v/>
      </c>
      <c r="B83" s="0" t="str">
        <f aca="false">IFERROR(SMALL(Recipes!$J$6:$J$305,78),"")</f>
        <v/>
      </c>
      <c r="C83" s="14" t="str">
        <f aca="false">IF(B83="","",IF(INDEX(Recipes!$E$6:$E$305,MATCH(B83,Recipes!$J$6:$J$305,0))="","Other",INDEX(Recipes!$E$6:$E$305,MATCH(B83,Recipes!$J$6:$J$305,0))))</f>
        <v/>
      </c>
      <c r="D83" s="12" t="str">
        <f aca="false">IF(B83="","",TRIM(INDEX(Recipes!$B$6:$B$305,MATCH(B83,Recipes!$J$6:$J$305,0))))</f>
        <v/>
      </c>
      <c r="E83" s="15" t="str">
        <f aca="false">IF(B83="","",SUMIF(Recipes!$I$6:$I$305,INDEX(Recipes!$I$6:$I$305,MATCH(B83,Recipes!$J$6:$J$305,0)),Recipes!$H$6:$H$305))</f>
        <v/>
      </c>
      <c r="F83" s="12" t="str">
        <f aca="false">IF(B83="","",TRIM(INDEX(Recipes!$D$6:$D$305,MATCH(B83,Recipes!$J$6:$J$305,0))))</f>
        <v/>
      </c>
      <c r="G83" s="12"/>
    </row>
    <row r="84" customFormat="false" ht="15" hidden="false" customHeight="false" outlineLevel="0" collapsed="false">
      <c r="A84" s="12" t="str">
        <f aca="false">IF(B84="","",79)</f>
        <v/>
      </c>
      <c r="B84" s="0" t="str">
        <f aca="false">IFERROR(SMALL(Recipes!$J$6:$J$305,79),"")</f>
        <v/>
      </c>
      <c r="C84" s="14" t="str">
        <f aca="false">IF(B84="","",IF(INDEX(Recipes!$E$6:$E$305,MATCH(B84,Recipes!$J$6:$J$305,0))="","Other",INDEX(Recipes!$E$6:$E$305,MATCH(B84,Recipes!$J$6:$J$305,0))))</f>
        <v/>
      </c>
      <c r="D84" s="12" t="str">
        <f aca="false">IF(B84="","",TRIM(INDEX(Recipes!$B$6:$B$305,MATCH(B84,Recipes!$J$6:$J$305,0))))</f>
        <v/>
      </c>
      <c r="E84" s="15" t="str">
        <f aca="false">IF(B84="","",SUMIF(Recipes!$I$6:$I$305,INDEX(Recipes!$I$6:$I$305,MATCH(B84,Recipes!$J$6:$J$305,0)),Recipes!$H$6:$H$305))</f>
        <v/>
      </c>
      <c r="F84" s="12" t="str">
        <f aca="false">IF(B84="","",TRIM(INDEX(Recipes!$D$6:$D$305,MATCH(B84,Recipes!$J$6:$J$305,0))))</f>
        <v/>
      </c>
      <c r="G84" s="12"/>
    </row>
    <row r="85" customFormat="false" ht="15" hidden="false" customHeight="false" outlineLevel="0" collapsed="false">
      <c r="A85" s="12" t="str">
        <f aca="false">IF(B85="","",80)</f>
        <v/>
      </c>
      <c r="B85" s="0" t="str">
        <f aca="false">IFERROR(SMALL(Recipes!$J$6:$J$305,80),"")</f>
        <v/>
      </c>
      <c r="C85" s="14" t="str">
        <f aca="false">IF(B85="","",IF(INDEX(Recipes!$E$6:$E$305,MATCH(B85,Recipes!$J$6:$J$305,0))="","Other",INDEX(Recipes!$E$6:$E$305,MATCH(B85,Recipes!$J$6:$J$305,0))))</f>
        <v/>
      </c>
      <c r="D85" s="12" t="str">
        <f aca="false">IF(B85="","",TRIM(INDEX(Recipes!$B$6:$B$305,MATCH(B85,Recipes!$J$6:$J$305,0))))</f>
        <v/>
      </c>
      <c r="E85" s="15" t="str">
        <f aca="false">IF(B85="","",SUMIF(Recipes!$I$6:$I$305,INDEX(Recipes!$I$6:$I$305,MATCH(B85,Recipes!$J$6:$J$305,0)),Recipes!$H$6:$H$305))</f>
        <v/>
      </c>
      <c r="F85" s="12" t="str">
        <f aca="false">IF(B85="","",TRIM(INDEX(Recipes!$D$6:$D$305,MATCH(B85,Recipes!$J$6:$J$305,0))))</f>
        <v/>
      </c>
      <c r="G85" s="12"/>
    </row>
    <row r="86" customFormat="false" ht="15" hidden="false" customHeight="false" outlineLevel="0" collapsed="false">
      <c r="A86" s="12" t="str">
        <f aca="false">IF(B86="","",81)</f>
        <v/>
      </c>
      <c r="B86" s="0" t="str">
        <f aca="false">IFERROR(SMALL(Recipes!$J$6:$J$305,81),"")</f>
        <v/>
      </c>
      <c r="C86" s="14" t="str">
        <f aca="false">IF(B86="","",IF(INDEX(Recipes!$E$6:$E$305,MATCH(B86,Recipes!$J$6:$J$305,0))="","Other",INDEX(Recipes!$E$6:$E$305,MATCH(B86,Recipes!$J$6:$J$305,0))))</f>
        <v/>
      </c>
      <c r="D86" s="12" t="str">
        <f aca="false">IF(B86="","",TRIM(INDEX(Recipes!$B$6:$B$305,MATCH(B86,Recipes!$J$6:$J$305,0))))</f>
        <v/>
      </c>
      <c r="E86" s="15" t="str">
        <f aca="false">IF(B86="","",SUMIF(Recipes!$I$6:$I$305,INDEX(Recipes!$I$6:$I$305,MATCH(B86,Recipes!$J$6:$J$305,0)),Recipes!$H$6:$H$305))</f>
        <v/>
      </c>
      <c r="F86" s="12" t="str">
        <f aca="false">IF(B86="","",TRIM(INDEX(Recipes!$D$6:$D$305,MATCH(B86,Recipes!$J$6:$J$305,0))))</f>
        <v/>
      </c>
      <c r="G86" s="12"/>
    </row>
    <row r="87" customFormat="false" ht="15" hidden="false" customHeight="false" outlineLevel="0" collapsed="false">
      <c r="A87" s="12" t="str">
        <f aca="false">IF(B87="","",82)</f>
        <v/>
      </c>
      <c r="B87" s="0" t="str">
        <f aca="false">IFERROR(SMALL(Recipes!$J$6:$J$305,82),"")</f>
        <v/>
      </c>
      <c r="C87" s="14" t="str">
        <f aca="false">IF(B87="","",IF(INDEX(Recipes!$E$6:$E$305,MATCH(B87,Recipes!$J$6:$J$305,0))="","Other",INDEX(Recipes!$E$6:$E$305,MATCH(B87,Recipes!$J$6:$J$305,0))))</f>
        <v/>
      </c>
      <c r="D87" s="12" t="str">
        <f aca="false">IF(B87="","",TRIM(INDEX(Recipes!$B$6:$B$305,MATCH(B87,Recipes!$J$6:$J$305,0))))</f>
        <v/>
      </c>
      <c r="E87" s="15" t="str">
        <f aca="false">IF(B87="","",SUMIF(Recipes!$I$6:$I$305,INDEX(Recipes!$I$6:$I$305,MATCH(B87,Recipes!$J$6:$J$305,0)),Recipes!$H$6:$H$305))</f>
        <v/>
      </c>
      <c r="F87" s="12" t="str">
        <f aca="false">IF(B87="","",TRIM(INDEX(Recipes!$D$6:$D$305,MATCH(B87,Recipes!$J$6:$J$305,0))))</f>
        <v/>
      </c>
      <c r="G87" s="12"/>
    </row>
    <row r="88" customFormat="false" ht="15" hidden="false" customHeight="false" outlineLevel="0" collapsed="false">
      <c r="A88" s="12" t="str">
        <f aca="false">IF(B88="","",83)</f>
        <v/>
      </c>
      <c r="B88" s="0" t="str">
        <f aca="false">IFERROR(SMALL(Recipes!$J$6:$J$305,83),"")</f>
        <v/>
      </c>
      <c r="C88" s="14" t="str">
        <f aca="false">IF(B88="","",IF(INDEX(Recipes!$E$6:$E$305,MATCH(B88,Recipes!$J$6:$J$305,0))="","Other",INDEX(Recipes!$E$6:$E$305,MATCH(B88,Recipes!$J$6:$J$305,0))))</f>
        <v/>
      </c>
      <c r="D88" s="12" t="str">
        <f aca="false">IF(B88="","",TRIM(INDEX(Recipes!$B$6:$B$305,MATCH(B88,Recipes!$J$6:$J$305,0))))</f>
        <v/>
      </c>
      <c r="E88" s="15" t="str">
        <f aca="false">IF(B88="","",SUMIF(Recipes!$I$6:$I$305,INDEX(Recipes!$I$6:$I$305,MATCH(B88,Recipes!$J$6:$J$305,0)),Recipes!$H$6:$H$305))</f>
        <v/>
      </c>
      <c r="F88" s="12" t="str">
        <f aca="false">IF(B88="","",TRIM(INDEX(Recipes!$D$6:$D$305,MATCH(B88,Recipes!$J$6:$J$305,0))))</f>
        <v/>
      </c>
      <c r="G88" s="12"/>
    </row>
    <row r="89" customFormat="false" ht="15" hidden="false" customHeight="false" outlineLevel="0" collapsed="false">
      <c r="A89" s="12" t="str">
        <f aca="false">IF(B89="","",84)</f>
        <v/>
      </c>
      <c r="B89" s="0" t="str">
        <f aca="false">IFERROR(SMALL(Recipes!$J$6:$J$305,84),"")</f>
        <v/>
      </c>
      <c r="C89" s="14" t="str">
        <f aca="false">IF(B89="","",IF(INDEX(Recipes!$E$6:$E$305,MATCH(B89,Recipes!$J$6:$J$305,0))="","Other",INDEX(Recipes!$E$6:$E$305,MATCH(B89,Recipes!$J$6:$J$305,0))))</f>
        <v/>
      </c>
      <c r="D89" s="12" t="str">
        <f aca="false">IF(B89="","",TRIM(INDEX(Recipes!$B$6:$B$305,MATCH(B89,Recipes!$J$6:$J$305,0))))</f>
        <v/>
      </c>
      <c r="E89" s="15" t="str">
        <f aca="false">IF(B89="","",SUMIF(Recipes!$I$6:$I$305,INDEX(Recipes!$I$6:$I$305,MATCH(B89,Recipes!$J$6:$J$305,0)),Recipes!$H$6:$H$305))</f>
        <v/>
      </c>
      <c r="F89" s="12" t="str">
        <f aca="false">IF(B89="","",TRIM(INDEX(Recipes!$D$6:$D$305,MATCH(B89,Recipes!$J$6:$J$305,0))))</f>
        <v/>
      </c>
      <c r="G89" s="12"/>
    </row>
    <row r="90" customFormat="false" ht="15" hidden="false" customHeight="false" outlineLevel="0" collapsed="false">
      <c r="A90" s="12" t="str">
        <f aca="false">IF(B90="","",85)</f>
        <v/>
      </c>
      <c r="B90" s="0" t="str">
        <f aca="false">IFERROR(SMALL(Recipes!$J$6:$J$305,85),"")</f>
        <v/>
      </c>
      <c r="C90" s="14" t="str">
        <f aca="false">IF(B90="","",IF(INDEX(Recipes!$E$6:$E$305,MATCH(B90,Recipes!$J$6:$J$305,0))="","Other",INDEX(Recipes!$E$6:$E$305,MATCH(B90,Recipes!$J$6:$J$305,0))))</f>
        <v/>
      </c>
      <c r="D90" s="12" t="str">
        <f aca="false">IF(B90="","",TRIM(INDEX(Recipes!$B$6:$B$305,MATCH(B90,Recipes!$J$6:$J$305,0))))</f>
        <v/>
      </c>
      <c r="E90" s="15" t="str">
        <f aca="false">IF(B90="","",SUMIF(Recipes!$I$6:$I$305,INDEX(Recipes!$I$6:$I$305,MATCH(B90,Recipes!$J$6:$J$305,0)),Recipes!$H$6:$H$305))</f>
        <v/>
      </c>
      <c r="F90" s="12" t="str">
        <f aca="false">IF(B90="","",TRIM(INDEX(Recipes!$D$6:$D$305,MATCH(B90,Recipes!$J$6:$J$305,0))))</f>
        <v/>
      </c>
      <c r="G90" s="12"/>
    </row>
    <row r="91" customFormat="false" ht="15" hidden="false" customHeight="false" outlineLevel="0" collapsed="false">
      <c r="A91" s="12" t="str">
        <f aca="false">IF(B91="","",86)</f>
        <v/>
      </c>
      <c r="B91" s="0" t="str">
        <f aca="false">IFERROR(SMALL(Recipes!$J$6:$J$305,86),"")</f>
        <v/>
      </c>
      <c r="C91" s="14" t="str">
        <f aca="false">IF(B91="","",IF(INDEX(Recipes!$E$6:$E$305,MATCH(B91,Recipes!$J$6:$J$305,0))="","Other",INDEX(Recipes!$E$6:$E$305,MATCH(B91,Recipes!$J$6:$J$305,0))))</f>
        <v/>
      </c>
      <c r="D91" s="12" t="str">
        <f aca="false">IF(B91="","",TRIM(INDEX(Recipes!$B$6:$B$305,MATCH(B91,Recipes!$J$6:$J$305,0))))</f>
        <v/>
      </c>
      <c r="E91" s="15" t="str">
        <f aca="false">IF(B91="","",SUMIF(Recipes!$I$6:$I$305,INDEX(Recipes!$I$6:$I$305,MATCH(B91,Recipes!$J$6:$J$305,0)),Recipes!$H$6:$H$305))</f>
        <v/>
      </c>
      <c r="F91" s="12" t="str">
        <f aca="false">IF(B91="","",TRIM(INDEX(Recipes!$D$6:$D$305,MATCH(B91,Recipes!$J$6:$J$305,0))))</f>
        <v/>
      </c>
      <c r="G91" s="12"/>
    </row>
    <row r="92" customFormat="false" ht="15" hidden="false" customHeight="false" outlineLevel="0" collapsed="false">
      <c r="A92" s="12" t="str">
        <f aca="false">IF(B92="","",87)</f>
        <v/>
      </c>
      <c r="B92" s="0" t="str">
        <f aca="false">IFERROR(SMALL(Recipes!$J$6:$J$305,87),"")</f>
        <v/>
      </c>
      <c r="C92" s="14" t="str">
        <f aca="false">IF(B92="","",IF(INDEX(Recipes!$E$6:$E$305,MATCH(B92,Recipes!$J$6:$J$305,0))="","Other",INDEX(Recipes!$E$6:$E$305,MATCH(B92,Recipes!$J$6:$J$305,0))))</f>
        <v/>
      </c>
      <c r="D92" s="12" t="str">
        <f aca="false">IF(B92="","",TRIM(INDEX(Recipes!$B$6:$B$305,MATCH(B92,Recipes!$J$6:$J$305,0))))</f>
        <v/>
      </c>
      <c r="E92" s="15" t="str">
        <f aca="false">IF(B92="","",SUMIF(Recipes!$I$6:$I$305,INDEX(Recipes!$I$6:$I$305,MATCH(B92,Recipes!$J$6:$J$305,0)),Recipes!$H$6:$H$305))</f>
        <v/>
      </c>
      <c r="F92" s="12" t="str">
        <f aca="false">IF(B92="","",TRIM(INDEX(Recipes!$D$6:$D$305,MATCH(B92,Recipes!$J$6:$J$305,0))))</f>
        <v/>
      </c>
      <c r="G92" s="12"/>
    </row>
    <row r="93" customFormat="false" ht="15" hidden="false" customHeight="false" outlineLevel="0" collapsed="false">
      <c r="A93" s="12" t="str">
        <f aca="false">IF(B93="","",88)</f>
        <v/>
      </c>
      <c r="B93" s="0" t="str">
        <f aca="false">IFERROR(SMALL(Recipes!$J$6:$J$305,88),"")</f>
        <v/>
      </c>
      <c r="C93" s="14" t="str">
        <f aca="false">IF(B93="","",IF(INDEX(Recipes!$E$6:$E$305,MATCH(B93,Recipes!$J$6:$J$305,0))="","Other",INDEX(Recipes!$E$6:$E$305,MATCH(B93,Recipes!$J$6:$J$305,0))))</f>
        <v/>
      </c>
      <c r="D93" s="12" t="str">
        <f aca="false">IF(B93="","",TRIM(INDEX(Recipes!$B$6:$B$305,MATCH(B93,Recipes!$J$6:$J$305,0))))</f>
        <v/>
      </c>
      <c r="E93" s="15" t="str">
        <f aca="false">IF(B93="","",SUMIF(Recipes!$I$6:$I$305,INDEX(Recipes!$I$6:$I$305,MATCH(B93,Recipes!$J$6:$J$305,0)),Recipes!$H$6:$H$305))</f>
        <v/>
      </c>
      <c r="F93" s="12" t="str">
        <f aca="false">IF(B93="","",TRIM(INDEX(Recipes!$D$6:$D$305,MATCH(B93,Recipes!$J$6:$J$305,0))))</f>
        <v/>
      </c>
      <c r="G93" s="12"/>
    </row>
    <row r="94" customFormat="false" ht="15" hidden="false" customHeight="false" outlineLevel="0" collapsed="false">
      <c r="A94" s="12" t="str">
        <f aca="false">IF(B94="","",89)</f>
        <v/>
      </c>
      <c r="B94" s="0" t="str">
        <f aca="false">IFERROR(SMALL(Recipes!$J$6:$J$305,89),"")</f>
        <v/>
      </c>
      <c r="C94" s="14" t="str">
        <f aca="false">IF(B94="","",IF(INDEX(Recipes!$E$6:$E$305,MATCH(B94,Recipes!$J$6:$J$305,0))="","Other",INDEX(Recipes!$E$6:$E$305,MATCH(B94,Recipes!$J$6:$J$305,0))))</f>
        <v/>
      </c>
      <c r="D94" s="12" t="str">
        <f aca="false">IF(B94="","",TRIM(INDEX(Recipes!$B$6:$B$305,MATCH(B94,Recipes!$J$6:$J$305,0))))</f>
        <v/>
      </c>
      <c r="E94" s="15" t="str">
        <f aca="false">IF(B94="","",SUMIF(Recipes!$I$6:$I$305,INDEX(Recipes!$I$6:$I$305,MATCH(B94,Recipes!$J$6:$J$305,0)),Recipes!$H$6:$H$305))</f>
        <v/>
      </c>
      <c r="F94" s="12" t="str">
        <f aca="false">IF(B94="","",TRIM(INDEX(Recipes!$D$6:$D$305,MATCH(B94,Recipes!$J$6:$J$305,0))))</f>
        <v/>
      </c>
      <c r="G94" s="12"/>
    </row>
    <row r="95" customFormat="false" ht="15" hidden="false" customHeight="false" outlineLevel="0" collapsed="false">
      <c r="A95" s="12" t="str">
        <f aca="false">IF(B95="","",90)</f>
        <v/>
      </c>
      <c r="B95" s="0" t="str">
        <f aca="false">IFERROR(SMALL(Recipes!$J$6:$J$305,90),"")</f>
        <v/>
      </c>
      <c r="C95" s="14" t="str">
        <f aca="false">IF(B95="","",IF(INDEX(Recipes!$E$6:$E$305,MATCH(B95,Recipes!$J$6:$J$305,0))="","Other",INDEX(Recipes!$E$6:$E$305,MATCH(B95,Recipes!$J$6:$J$305,0))))</f>
        <v/>
      </c>
      <c r="D95" s="12" t="str">
        <f aca="false">IF(B95="","",TRIM(INDEX(Recipes!$B$6:$B$305,MATCH(B95,Recipes!$J$6:$J$305,0))))</f>
        <v/>
      </c>
      <c r="E95" s="15" t="str">
        <f aca="false">IF(B95="","",SUMIF(Recipes!$I$6:$I$305,INDEX(Recipes!$I$6:$I$305,MATCH(B95,Recipes!$J$6:$J$305,0)),Recipes!$H$6:$H$305))</f>
        <v/>
      </c>
      <c r="F95" s="12" t="str">
        <f aca="false">IF(B95="","",TRIM(INDEX(Recipes!$D$6:$D$305,MATCH(B95,Recipes!$J$6:$J$305,0))))</f>
        <v/>
      </c>
      <c r="G95" s="12"/>
    </row>
    <row r="96" customFormat="false" ht="15" hidden="false" customHeight="false" outlineLevel="0" collapsed="false">
      <c r="A96" s="12" t="str">
        <f aca="false">IF(B96="","",91)</f>
        <v/>
      </c>
      <c r="B96" s="0" t="str">
        <f aca="false">IFERROR(SMALL(Recipes!$J$6:$J$305,91),"")</f>
        <v/>
      </c>
      <c r="C96" s="14" t="str">
        <f aca="false">IF(B96="","",IF(INDEX(Recipes!$E$6:$E$305,MATCH(B96,Recipes!$J$6:$J$305,0))="","Other",INDEX(Recipes!$E$6:$E$305,MATCH(B96,Recipes!$J$6:$J$305,0))))</f>
        <v/>
      </c>
      <c r="D96" s="12" t="str">
        <f aca="false">IF(B96="","",TRIM(INDEX(Recipes!$B$6:$B$305,MATCH(B96,Recipes!$J$6:$J$305,0))))</f>
        <v/>
      </c>
      <c r="E96" s="15" t="str">
        <f aca="false">IF(B96="","",SUMIF(Recipes!$I$6:$I$305,INDEX(Recipes!$I$6:$I$305,MATCH(B96,Recipes!$J$6:$J$305,0)),Recipes!$H$6:$H$305))</f>
        <v/>
      </c>
      <c r="F96" s="12" t="str">
        <f aca="false">IF(B96="","",TRIM(INDEX(Recipes!$D$6:$D$305,MATCH(B96,Recipes!$J$6:$J$305,0))))</f>
        <v/>
      </c>
      <c r="G96" s="12"/>
    </row>
    <row r="97" customFormat="false" ht="15" hidden="false" customHeight="false" outlineLevel="0" collapsed="false">
      <c r="A97" s="12" t="str">
        <f aca="false">IF(B97="","",92)</f>
        <v/>
      </c>
      <c r="B97" s="0" t="str">
        <f aca="false">IFERROR(SMALL(Recipes!$J$6:$J$305,92),"")</f>
        <v/>
      </c>
      <c r="C97" s="14" t="str">
        <f aca="false">IF(B97="","",IF(INDEX(Recipes!$E$6:$E$305,MATCH(B97,Recipes!$J$6:$J$305,0))="","Other",INDEX(Recipes!$E$6:$E$305,MATCH(B97,Recipes!$J$6:$J$305,0))))</f>
        <v/>
      </c>
      <c r="D97" s="12" t="str">
        <f aca="false">IF(B97="","",TRIM(INDEX(Recipes!$B$6:$B$305,MATCH(B97,Recipes!$J$6:$J$305,0))))</f>
        <v/>
      </c>
      <c r="E97" s="15" t="str">
        <f aca="false">IF(B97="","",SUMIF(Recipes!$I$6:$I$305,INDEX(Recipes!$I$6:$I$305,MATCH(B97,Recipes!$J$6:$J$305,0)),Recipes!$H$6:$H$305))</f>
        <v/>
      </c>
      <c r="F97" s="12" t="str">
        <f aca="false">IF(B97="","",TRIM(INDEX(Recipes!$D$6:$D$305,MATCH(B97,Recipes!$J$6:$J$305,0))))</f>
        <v/>
      </c>
      <c r="G97" s="12"/>
    </row>
    <row r="98" customFormat="false" ht="15" hidden="false" customHeight="false" outlineLevel="0" collapsed="false">
      <c r="A98" s="12" t="str">
        <f aca="false">IF(B98="","",93)</f>
        <v/>
      </c>
      <c r="B98" s="0" t="str">
        <f aca="false">IFERROR(SMALL(Recipes!$J$6:$J$305,93),"")</f>
        <v/>
      </c>
      <c r="C98" s="14" t="str">
        <f aca="false">IF(B98="","",IF(INDEX(Recipes!$E$6:$E$305,MATCH(B98,Recipes!$J$6:$J$305,0))="","Other",INDEX(Recipes!$E$6:$E$305,MATCH(B98,Recipes!$J$6:$J$305,0))))</f>
        <v/>
      </c>
      <c r="D98" s="12" t="str">
        <f aca="false">IF(B98="","",TRIM(INDEX(Recipes!$B$6:$B$305,MATCH(B98,Recipes!$J$6:$J$305,0))))</f>
        <v/>
      </c>
      <c r="E98" s="15" t="str">
        <f aca="false">IF(B98="","",SUMIF(Recipes!$I$6:$I$305,INDEX(Recipes!$I$6:$I$305,MATCH(B98,Recipes!$J$6:$J$305,0)),Recipes!$H$6:$H$305))</f>
        <v/>
      </c>
      <c r="F98" s="12" t="str">
        <f aca="false">IF(B98="","",TRIM(INDEX(Recipes!$D$6:$D$305,MATCH(B98,Recipes!$J$6:$J$305,0))))</f>
        <v/>
      </c>
      <c r="G98" s="12"/>
    </row>
    <row r="99" customFormat="false" ht="15" hidden="false" customHeight="false" outlineLevel="0" collapsed="false">
      <c r="A99" s="12" t="str">
        <f aca="false">IF(B99="","",94)</f>
        <v/>
      </c>
      <c r="B99" s="0" t="str">
        <f aca="false">IFERROR(SMALL(Recipes!$J$6:$J$305,94),"")</f>
        <v/>
      </c>
      <c r="C99" s="14" t="str">
        <f aca="false">IF(B99="","",IF(INDEX(Recipes!$E$6:$E$305,MATCH(B99,Recipes!$J$6:$J$305,0))="","Other",INDEX(Recipes!$E$6:$E$305,MATCH(B99,Recipes!$J$6:$J$305,0))))</f>
        <v/>
      </c>
      <c r="D99" s="12" t="str">
        <f aca="false">IF(B99="","",TRIM(INDEX(Recipes!$B$6:$B$305,MATCH(B99,Recipes!$J$6:$J$305,0))))</f>
        <v/>
      </c>
      <c r="E99" s="15" t="str">
        <f aca="false">IF(B99="","",SUMIF(Recipes!$I$6:$I$305,INDEX(Recipes!$I$6:$I$305,MATCH(B99,Recipes!$J$6:$J$305,0)),Recipes!$H$6:$H$305))</f>
        <v/>
      </c>
      <c r="F99" s="12" t="str">
        <f aca="false">IF(B99="","",TRIM(INDEX(Recipes!$D$6:$D$305,MATCH(B99,Recipes!$J$6:$J$305,0))))</f>
        <v/>
      </c>
      <c r="G99" s="12"/>
    </row>
    <row r="100" customFormat="false" ht="15" hidden="false" customHeight="false" outlineLevel="0" collapsed="false">
      <c r="A100" s="12" t="str">
        <f aca="false">IF(B100="","",95)</f>
        <v/>
      </c>
      <c r="B100" s="0" t="str">
        <f aca="false">IFERROR(SMALL(Recipes!$J$6:$J$305,95),"")</f>
        <v/>
      </c>
      <c r="C100" s="14" t="str">
        <f aca="false">IF(B100="","",IF(INDEX(Recipes!$E$6:$E$305,MATCH(B100,Recipes!$J$6:$J$305,0))="","Other",INDEX(Recipes!$E$6:$E$305,MATCH(B100,Recipes!$J$6:$J$305,0))))</f>
        <v/>
      </c>
      <c r="D100" s="12" t="str">
        <f aca="false">IF(B100="","",TRIM(INDEX(Recipes!$B$6:$B$305,MATCH(B100,Recipes!$J$6:$J$305,0))))</f>
        <v/>
      </c>
      <c r="E100" s="15" t="str">
        <f aca="false">IF(B100="","",SUMIF(Recipes!$I$6:$I$305,INDEX(Recipes!$I$6:$I$305,MATCH(B100,Recipes!$J$6:$J$305,0)),Recipes!$H$6:$H$305))</f>
        <v/>
      </c>
      <c r="F100" s="12" t="str">
        <f aca="false">IF(B100="","",TRIM(INDEX(Recipes!$D$6:$D$305,MATCH(B100,Recipes!$J$6:$J$305,0))))</f>
        <v/>
      </c>
      <c r="G100" s="12"/>
    </row>
    <row r="101" customFormat="false" ht="15" hidden="false" customHeight="false" outlineLevel="0" collapsed="false">
      <c r="A101" s="12" t="str">
        <f aca="false">IF(B101="","",96)</f>
        <v/>
      </c>
      <c r="B101" s="0" t="str">
        <f aca="false">IFERROR(SMALL(Recipes!$J$6:$J$305,96),"")</f>
        <v/>
      </c>
      <c r="C101" s="14" t="str">
        <f aca="false">IF(B101="","",IF(INDEX(Recipes!$E$6:$E$305,MATCH(B101,Recipes!$J$6:$J$305,0))="","Other",INDEX(Recipes!$E$6:$E$305,MATCH(B101,Recipes!$J$6:$J$305,0))))</f>
        <v/>
      </c>
      <c r="D101" s="12" t="str">
        <f aca="false">IF(B101="","",TRIM(INDEX(Recipes!$B$6:$B$305,MATCH(B101,Recipes!$J$6:$J$305,0))))</f>
        <v/>
      </c>
      <c r="E101" s="15" t="str">
        <f aca="false">IF(B101="","",SUMIF(Recipes!$I$6:$I$305,INDEX(Recipes!$I$6:$I$305,MATCH(B101,Recipes!$J$6:$J$305,0)),Recipes!$H$6:$H$305))</f>
        <v/>
      </c>
      <c r="F101" s="12" t="str">
        <f aca="false">IF(B101="","",TRIM(INDEX(Recipes!$D$6:$D$305,MATCH(B101,Recipes!$J$6:$J$305,0))))</f>
        <v/>
      </c>
      <c r="G101" s="12"/>
    </row>
    <row r="102" customFormat="false" ht="15" hidden="false" customHeight="false" outlineLevel="0" collapsed="false">
      <c r="A102" s="12" t="str">
        <f aca="false">IF(B102="","",97)</f>
        <v/>
      </c>
      <c r="B102" s="0" t="str">
        <f aca="false">IFERROR(SMALL(Recipes!$J$6:$J$305,97),"")</f>
        <v/>
      </c>
      <c r="C102" s="14" t="str">
        <f aca="false">IF(B102="","",IF(INDEX(Recipes!$E$6:$E$305,MATCH(B102,Recipes!$J$6:$J$305,0))="","Other",INDEX(Recipes!$E$6:$E$305,MATCH(B102,Recipes!$J$6:$J$305,0))))</f>
        <v/>
      </c>
      <c r="D102" s="12" t="str">
        <f aca="false">IF(B102="","",TRIM(INDEX(Recipes!$B$6:$B$305,MATCH(B102,Recipes!$J$6:$J$305,0))))</f>
        <v/>
      </c>
      <c r="E102" s="15" t="str">
        <f aca="false">IF(B102="","",SUMIF(Recipes!$I$6:$I$305,INDEX(Recipes!$I$6:$I$305,MATCH(B102,Recipes!$J$6:$J$305,0)),Recipes!$H$6:$H$305))</f>
        <v/>
      </c>
      <c r="F102" s="12" t="str">
        <f aca="false">IF(B102="","",TRIM(INDEX(Recipes!$D$6:$D$305,MATCH(B102,Recipes!$J$6:$J$305,0))))</f>
        <v/>
      </c>
      <c r="G102" s="12"/>
    </row>
    <row r="103" customFormat="false" ht="15" hidden="false" customHeight="false" outlineLevel="0" collapsed="false">
      <c r="A103" s="12" t="str">
        <f aca="false">IF(B103="","",98)</f>
        <v/>
      </c>
      <c r="B103" s="0" t="str">
        <f aca="false">IFERROR(SMALL(Recipes!$J$6:$J$305,98),"")</f>
        <v/>
      </c>
      <c r="C103" s="14" t="str">
        <f aca="false">IF(B103="","",IF(INDEX(Recipes!$E$6:$E$305,MATCH(B103,Recipes!$J$6:$J$305,0))="","Other",INDEX(Recipes!$E$6:$E$305,MATCH(B103,Recipes!$J$6:$J$305,0))))</f>
        <v/>
      </c>
      <c r="D103" s="12" t="str">
        <f aca="false">IF(B103="","",TRIM(INDEX(Recipes!$B$6:$B$305,MATCH(B103,Recipes!$J$6:$J$305,0))))</f>
        <v/>
      </c>
      <c r="E103" s="15" t="str">
        <f aca="false">IF(B103="","",SUMIF(Recipes!$I$6:$I$305,INDEX(Recipes!$I$6:$I$305,MATCH(B103,Recipes!$J$6:$J$305,0)),Recipes!$H$6:$H$305))</f>
        <v/>
      </c>
      <c r="F103" s="12" t="str">
        <f aca="false">IF(B103="","",TRIM(INDEX(Recipes!$D$6:$D$305,MATCH(B103,Recipes!$J$6:$J$305,0))))</f>
        <v/>
      </c>
      <c r="G103" s="12"/>
    </row>
    <row r="104" customFormat="false" ht="15" hidden="false" customHeight="false" outlineLevel="0" collapsed="false">
      <c r="A104" s="12" t="str">
        <f aca="false">IF(B104="","",99)</f>
        <v/>
      </c>
      <c r="B104" s="0" t="str">
        <f aca="false">IFERROR(SMALL(Recipes!$J$6:$J$305,99),"")</f>
        <v/>
      </c>
      <c r="C104" s="14" t="str">
        <f aca="false">IF(B104="","",IF(INDEX(Recipes!$E$6:$E$305,MATCH(B104,Recipes!$J$6:$J$305,0))="","Other",INDEX(Recipes!$E$6:$E$305,MATCH(B104,Recipes!$J$6:$J$305,0))))</f>
        <v/>
      </c>
      <c r="D104" s="12" t="str">
        <f aca="false">IF(B104="","",TRIM(INDEX(Recipes!$B$6:$B$305,MATCH(B104,Recipes!$J$6:$J$305,0))))</f>
        <v/>
      </c>
      <c r="E104" s="15" t="str">
        <f aca="false">IF(B104="","",SUMIF(Recipes!$I$6:$I$305,INDEX(Recipes!$I$6:$I$305,MATCH(B104,Recipes!$J$6:$J$305,0)),Recipes!$H$6:$H$305))</f>
        <v/>
      </c>
      <c r="F104" s="12" t="str">
        <f aca="false">IF(B104="","",TRIM(INDEX(Recipes!$D$6:$D$305,MATCH(B104,Recipes!$J$6:$J$305,0))))</f>
        <v/>
      </c>
      <c r="G104" s="12"/>
    </row>
    <row r="105" customFormat="false" ht="15" hidden="false" customHeight="false" outlineLevel="0" collapsed="false">
      <c r="A105" s="12" t="str">
        <f aca="false">IF(B105="","",100)</f>
        <v/>
      </c>
      <c r="B105" s="0" t="str">
        <f aca="false">IFERROR(SMALL(Recipes!$J$6:$J$305,100),"")</f>
        <v/>
      </c>
      <c r="C105" s="14" t="str">
        <f aca="false">IF(B105="","",IF(INDEX(Recipes!$E$6:$E$305,MATCH(B105,Recipes!$J$6:$J$305,0))="","Other",INDEX(Recipes!$E$6:$E$305,MATCH(B105,Recipes!$J$6:$J$305,0))))</f>
        <v/>
      </c>
      <c r="D105" s="12" t="str">
        <f aca="false">IF(B105="","",TRIM(INDEX(Recipes!$B$6:$B$305,MATCH(B105,Recipes!$J$6:$J$305,0))))</f>
        <v/>
      </c>
      <c r="E105" s="15" t="str">
        <f aca="false">IF(B105="","",SUMIF(Recipes!$I$6:$I$305,INDEX(Recipes!$I$6:$I$305,MATCH(B105,Recipes!$J$6:$J$305,0)),Recipes!$H$6:$H$305))</f>
        <v/>
      </c>
      <c r="F105" s="12" t="str">
        <f aca="false">IF(B105="","",TRIM(INDEX(Recipes!$D$6:$D$305,MATCH(B105,Recipes!$J$6:$J$305,0))))</f>
        <v/>
      </c>
      <c r="G105" s="12"/>
    </row>
    <row r="106" customFormat="false" ht="15" hidden="false" customHeight="false" outlineLevel="0" collapsed="false">
      <c r="A106" s="12" t="str">
        <f aca="false">IF(B106="","",101)</f>
        <v/>
      </c>
      <c r="B106" s="0" t="str">
        <f aca="false">IFERROR(SMALL(Recipes!$J$6:$J$305,101),"")</f>
        <v/>
      </c>
      <c r="C106" s="14" t="str">
        <f aca="false">IF(B106="","",IF(INDEX(Recipes!$E$6:$E$305,MATCH(B106,Recipes!$J$6:$J$305,0))="","Other",INDEX(Recipes!$E$6:$E$305,MATCH(B106,Recipes!$J$6:$J$305,0))))</f>
        <v/>
      </c>
      <c r="D106" s="12" t="str">
        <f aca="false">IF(B106="","",TRIM(INDEX(Recipes!$B$6:$B$305,MATCH(B106,Recipes!$J$6:$J$305,0))))</f>
        <v/>
      </c>
      <c r="E106" s="15" t="str">
        <f aca="false">IF(B106="","",SUMIF(Recipes!$I$6:$I$305,INDEX(Recipes!$I$6:$I$305,MATCH(B106,Recipes!$J$6:$J$305,0)),Recipes!$H$6:$H$305))</f>
        <v/>
      </c>
      <c r="F106" s="12" t="str">
        <f aca="false">IF(B106="","",TRIM(INDEX(Recipes!$D$6:$D$305,MATCH(B106,Recipes!$J$6:$J$305,0))))</f>
        <v/>
      </c>
      <c r="G106" s="12"/>
    </row>
    <row r="107" customFormat="false" ht="15" hidden="false" customHeight="false" outlineLevel="0" collapsed="false">
      <c r="A107" s="12" t="str">
        <f aca="false">IF(B107="","",102)</f>
        <v/>
      </c>
      <c r="B107" s="0" t="str">
        <f aca="false">IFERROR(SMALL(Recipes!$J$6:$J$305,102),"")</f>
        <v/>
      </c>
      <c r="C107" s="14" t="str">
        <f aca="false">IF(B107="","",IF(INDEX(Recipes!$E$6:$E$305,MATCH(B107,Recipes!$J$6:$J$305,0))="","Other",INDEX(Recipes!$E$6:$E$305,MATCH(B107,Recipes!$J$6:$J$305,0))))</f>
        <v/>
      </c>
      <c r="D107" s="12" t="str">
        <f aca="false">IF(B107="","",TRIM(INDEX(Recipes!$B$6:$B$305,MATCH(B107,Recipes!$J$6:$J$305,0))))</f>
        <v/>
      </c>
      <c r="E107" s="15" t="str">
        <f aca="false">IF(B107="","",SUMIF(Recipes!$I$6:$I$305,INDEX(Recipes!$I$6:$I$305,MATCH(B107,Recipes!$J$6:$J$305,0)),Recipes!$H$6:$H$305))</f>
        <v/>
      </c>
      <c r="F107" s="12" t="str">
        <f aca="false">IF(B107="","",TRIM(INDEX(Recipes!$D$6:$D$305,MATCH(B107,Recipes!$J$6:$J$305,0))))</f>
        <v/>
      </c>
      <c r="G107" s="12"/>
    </row>
    <row r="108" customFormat="false" ht="15" hidden="false" customHeight="false" outlineLevel="0" collapsed="false">
      <c r="A108" s="12" t="str">
        <f aca="false">IF(B108="","",103)</f>
        <v/>
      </c>
      <c r="B108" s="0" t="str">
        <f aca="false">IFERROR(SMALL(Recipes!$J$6:$J$305,103),"")</f>
        <v/>
      </c>
      <c r="C108" s="14" t="str">
        <f aca="false">IF(B108="","",IF(INDEX(Recipes!$E$6:$E$305,MATCH(B108,Recipes!$J$6:$J$305,0))="","Other",INDEX(Recipes!$E$6:$E$305,MATCH(B108,Recipes!$J$6:$J$305,0))))</f>
        <v/>
      </c>
      <c r="D108" s="12" t="str">
        <f aca="false">IF(B108="","",TRIM(INDEX(Recipes!$B$6:$B$305,MATCH(B108,Recipes!$J$6:$J$305,0))))</f>
        <v/>
      </c>
      <c r="E108" s="15" t="str">
        <f aca="false">IF(B108="","",SUMIF(Recipes!$I$6:$I$305,INDEX(Recipes!$I$6:$I$305,MATCH(B108,Recipes!$J$6:$J$305,0)),Recipes!$H$6:$H$305))</f>
        <v/>
      </c>
      <c r="F108" s="12" t="str">
        <f aca="false">IF(B108="","",TRIM(INDEX(Recipes!$D$6:$D$305,MATCH(B108,Recipes!$J$6:$J$305,0))))</f>
        <v/>
      </c>
      <c r="G108" s="12"/>
    </row>
    <row r="109" customFormat="false" ht="15" hidden="false" customHeight="false" outlineLevel="0" collapsed="false">
      <c r="A109" s="12" t="str">
        <f aca="false">IF(B109="","",104)</f>
        <v/>
      </c>
      <c r="B109" s="0" t="str">
        <f aca="false">IFERROR(SMALL(Recipes!$J$6:$J$305,104),"")</f>
        <v/>
      </c>
      <c r="C109" s="14" t="str">
        <f aca="false">IF(B109="","",IF(INDEX(Recipes!$E$6:$E$305,MATCH(B109,Recipes!$J$6:$J$305,0))="","Other",INDEX(Recipes!$E$6:$E$305,MATCH(B109,Recipes!$J$6:$J$305,0))))</f>
        <v/>
      </c>
      <c r="D109" s="12" t="str">
        <f aca="false">IF(B109="","",TRIM(INDEX(Recipes!$B$6:$B$305,MATCH(B109,Recipes!$J$6:$J$305,0))))</f>
        <v/>
      </c>
      <c r="E109" s="15" t="str">
        <f aca="false">IF(B109="","",SUMIF(Recipes!$I$6:$I$305,INDEX(Recipes!$I$6:$I$305,MATCH(B109,Recipes!$J$6:$J$305,0)),Recipes!$H$6:$H$305))</f>
        <v/>
      </c>
      <c r="F109" s="12" t="str">
        <f aca="false">IF(B109="","",TRIM(INDEX(Recipes!$D$6:$D$305,MATCH(B109,Recipes!$J$6:$J$305,0))))</f>
        <v/>
      </c>
      <c r="G109" s="12"/>
    </row>
    <row r="110" customFormat="false" ht="15" hidden="false" customHeight="false" outlineLevel="0" collapsed="false">
      <c r="A110" s="12" t="str">
        <f aca="false">IF(B110="","",105)</f>
        <v/>
      </c>
      <c r="B110" s="0" t="str">
        <f aca="false">IFERROR(SMALL(Recipes!$J$6:$J$305,105),"")</f>
        <v/>
      </c>
      <c r="C110" s="14" t="str">
        <f aca="false">IF(B110="","",IF(INDEX(Recipes!$E$6:$E$305,MATCH(B110,Recipes!$J$6:$J$305,0))="","Other",INDEX(Recipes!$E$6:$E$305,MATCH(B110,Recipes!$J$6:$J$305,0))))</f>
        <v/>
      </c>
      <c r="D110" s="12" t="str">
        <f aca="false">IF(B110="","",TRIM(INDEX(Recipes!$B$6:$B$305,MATCH(B110,Recipes!$J$6:$J$305,0))))</f>
        <v/>
      </c>
      <c r="E110" s="15" t="str">
        <f aca="false">IF(B110="","",SUMIF(Recipes!$I$6:$I$305,INDEX(Recipes!$I$6:$I$305,MATCH(B110,Recipes!$J$6:$J$305,0)),Recipes!$H$6:$H$305))</f>
        <v/>
      </c>
      <c r="F110" s="12" t="str">
        <f aca="false">IF(B110="","",TRIM(INDEX(Recipes!$D$6:$D$305,MATCH(B110,Recipes!$J$6:$J$305,0))))</f>
        <v/>
      </c>
      <c r="G110" s="12"/>
    </row>
    <row r="111" customFormat="false" ht="15" hidden="false" customHeight="false" outlineLevel="0" collapsed="false">
      <c r="A111" s="12" t="str">
        <f aca="false">IF(B111="","",106)</f>
        <v/>
      </c>
      <c r="B111" s="0" t="str">
        <f aca="false">IFERROR(SMALL(Recipes!$J$6:$J$305,106),"")</f>
        <v/>
      </c>
      <c r="C111" s="14" t="str">
        <f aca="false">IF(B111="","",IF(INDEX(Recipes!$E$6:$E$305,MATCH(B111,Recipes!$J$6:$J$305,0))="","Other",INDEX(Recipes!$E$6:$E$305,MATCH(B111,Recipes!$J$6:$J$305,0))))</f>
        <v/>
      </c>
      <c r="D111" s="12" t="str">
        <f aca="false">IF(B111="","",TRIM(INDEX(Recipes!$B$6:$B$305,MATCH(B111,Recipes!$J$6:$J$305,0))))</f>
        <v/>
      </c>
      <c r="E111" s="15" t="str">
        <f aca="false">IF(B111="","",SUMIF(Recipes!$I$6:$I$305,INDEX(Recipes!$I$6:$I$305,MATCH(B111,Recipes!$J$6:$J$305,0)),Recipes!$H$6:$H$305))</f>
        <v/>
      </c>
      <c r="F111" s="12" t="str">
        <f aca="false">IF(B111="","",TRIM(INDEX(Recipes!$D$6:$D$305,MATCH(B111,Recipes!$J$6:$J$305,0))))</f>
        <v/>
      </c>
      <c r="G111" s="12"/>
    </row>
    <row r="112" customFormat="false" ht="15" hidden="false" customHeight="false" outlineLevel="0" collapsed="false">
      <c r="A112" s="12" t="str">
        <f aca="false">IF(B112="","",107)</f>
        <v/>
      </c>
      <c r="B112" s="0" t="str">
        <f aca="false">IFERROR(SMALL(Recipes!$J$6:$J$305,107),"")</f>
        <v/>
      </c>
      <c r="C112" s="14" t="str">
        <f aca="false">IF(B112="","",IF(INDEX(Recipes!$E$6:$E$305,MATCH(B112,Recipes!$J$6:$J$305,0))="","Other",INDEX(Recipes!$E$6:$E$305,MATCH(B112,Recipes!$J$6:$J$305,0))))</f>
        <v/>
      </c>
      <c r="D112" s="12" t="str">
        <f aca="false">IF(B112="","",TRIM(INDEX(Recipes!$B$6:$B$305,MATCH(B112,Recipes!$J$6:$J$305,0))))</f>
        <v/>
      </c>
      <c r="E112" s="15" t="str">
        <f aca="false">IF(B112="","",SUMIF(Recipes!$I$6:$I$305,INDEX(Recipes!$I$6:$I$305,MATCH(B112,Recipes!$J$6:$J$305,0)),Recipes!$H$6:$H$305))</f>
        <v/>
      </c>
      <c r="F112" s="12" t="str">
        <f aca="false">IF(B112="","",TRIM(INDEX(Recipes!$D$6:$D$305,MATCH(B112,Recipes!$J$6:$J$305,0))))</f>
        <v/>
      </c>
      <c r="G112" s="12"/>
    </row>
    <row r="113" customFormat="false" ht="15" hidden="false" customHeight="false" outlineLevel="0" collapsed="false">
      <c r="A113" s="12" t="str">
        <f aca="false">IF(B113="","",108)</f>
        <v/>
      </c>
      <c r="B113" s="0" t="str">
        <f aca="false">IFERROR(SMALL(Recipes!$J$6:$J$305,108),"")</f>
        <v/>
      </c>
      <c r="C113" s="14" t="str">
        <f aca="false">IF(B113="","",IF(INDEX(Recipes!$E$6:$E$305,MATCH(B113,Recipes!$J$6:$J$305,0))="","Other",INDEX(Recipes!$E$6:$E$305,MATCH(B113,Recipes!$J$6:$J$305,0))))</f>
        <v/>
      </c>
      <c r="D113" s="12" t="str">
        <f aca="false">IF(B113="","",TRIM(INDEX(Recipes!$B$6:$B$305,MATCH(B113,Recipes!$J$6:$J$305,0))))</f>
        <v/>
      </c>
      <c r="E113" s="15" t="str">
        <f aca="false">IF(B113="","",SUMIF(Recipes!$I$6:$I$305,INDEX(Recipes!$I$6:$I$305,MATCH(B113,Recipes!$J$6:$J$305,0)),Recipes!$H$6:$H$305))</f>
        <v/>
      </c>
      <c r="F113" s="12" t="str">
        <f aca="false">IF(B113="","",TRIM(INDEX(Recipes!$D$6:$D$305,MATCH(B113,Recipes!$J$6:$J$305,0))))</f>
        <v/>
      </c>
      <c r="G113" s="12"/>
    </row>
    <row r="114" customFormat="false" ht="15" hidden="false" customHeight="false" outlineLevel="0" collapsed="false">
      <c r="A114" s="12" t="str">
        <f aca="false">IF(B114="","",109)</f>
        <v/>
      </c>
      <c r="B114" s="0" t="str">
        <f aca="false">IFERROR(SMALL(Recipes!$J$6:$J$305,109),"")</f>
        <v/>
      </c>
      <c r="C114" s="14" t="str">
        <f aca="false">IF(B114="","",IF(INDEX(Recipes!$E$6:$E$305,MATCH(B114,Recipes!$J$6:$J$305,0))="","Other",INDEX(Recipes!$E$6:$E$305,MATCH(B114,Recipes!$J$6:$J$305,0))))</f>
        <v/>
      </c>
      <c r="D114" s="12" t="str">
        <f aca="false">IF(B114="","",TRIM(INDEX(Recipes!$B$6:$B$305,MATCH(B114,Recipes!$J$6:$J$305,0))))</f>
        <v/>
      </c>
      <c r="E114" s="15" t="str">
        <f aca="false">IF(B114="","",SUMIF(Recipes!$I$6:$I$305,INDEX(Recipes!$I$6:$I$305,MATCH(B114,Recipes!$J$6:$J$305,0)),Recipes!$H$6:$H$305))</f>
        <v/>
      </c>
      <c r="F114" s="12" t="str">
        <f aca="false">IF(B114="","",TRIM(INDEX(Recipes!$D$6:$D$305,MATCH(B114,Recipes!$J$6:$J$305,0))))</f>
        <v/>
      </c>
      <c r="G114" s="12"/>
    </row>
    <row r="115" customFormat="false" ht="15" hidden="false" customHeight="false" outlineLevel="0" collapsed="false">
      <c r="A115" s="12" t="str">
        <f aca="false">IF(B115="","",110)</f>
        <v/>
      </c>
      <c r="B115" s="0" t="str">
        <f aca="false">IFERROR(SMALL(Recipes!$J$6:$J$305,110),"")</f>
        <v/>
      </c>
      <c r="C115" s="14" t="str">
        <f aca="false">IF(B115="","",IF(INDEX(Recipes!$E$6:$E$305,MATCH(B115,Recipes!$J$6:$J$305,0))="","Other",INDEX(Recipes!$E$6:$E$305,MATCH(B115,Recipes!$J$6:$J$305,0))))</f>
        <v/>
      </c>
      <c r="D115" s="12" t="str">
        <f aca="false">IF(B115="","",TRIM(INDEX(Recipes!$B$6:$B$305,MATCH(B115,Recipes!$J$6:$J$305,0))))</f>
        <v/>
      </c>
      <c r="E115" s="15" t="str">
        <f aca="false">IF(B115="","",SUMIF(Recipes!$I$6:$I$305,INDEX(Recipes!$I$6:$I$305,MATCH(B115,Recipes!$J$6:$J$305,0)),Recipes!$H$6:$H$305))</f>
        <v/>
      </c>
      <c r="F115" s="12" t="str">
        <f aca="false">IF(B115="","",TRIM(INDEX(Recipes!$D$6:$D$305,MATCH(B115,Recipes!$J$6:$J$305,0))))</f>
        <v/>
      </c>
      <c r="G115" s="12"/>
    </row>
    <row r="116" customFormat="false" ht="15" hidden="false" customHeight="false" outlineLevel="0" collapsed="false">
      <c r="A116" s="12" t="str">
        <f aca="false">IF(B116="","",111)</f>
        <v/>
      </c>
      <c r="B116" s="0" t="str">
        <f aca="false">IFERROR(SMALL(Recipes!$J$6:$J$305,111),"")</f>
        <v/>
      </c>
      <c r="C116" s="14" t="str">
        <f aca="false">IF(B116="","",IF(INDEX(Recipes!$E$6:$E$305,MATCH(B116,Recipes!$J$6:$J$305,0))="","Other",INDEX(Recipes!$E$6:$E$305,MATCH(B116,Recipes!$J$6:$J$305,0))))</f>
        <v/>
      </c>
      <c r="D116" s="12" t="str">
        <f aca="false">IF(B116="","",TRIM(INDEX(Recipes!$B$6:$B$305,MATCH(B116,Recipes!$J$6:$J$305,0))))</f>
        <v/>
      </c>
      <c r="E116" s="15" t="str">
        <f aca="false">IF(B116="","",SUMIF(Recipes!$I$6:$I$305,INDEX(Recipes!$I$6:$I$305,MATCH(B116,Recipes!$J$6:$J$305,0)),Recipes!$H$6:$H$305))</f>
        <v/>
      </c>
      <c r="F116" s="12" t="str">
        <f aca="false">IF(B116="","",TRIM(INDEX(Recipes!$D$6:$D$305,MATCH(B116,Recipes!$J$6:$J$305,0))))</f>
        <v/>
      </c>
      <c r="G116" s="12"/>
    </row>
    <row r="117" customFormat="false" ht="15" hidden="false" customHeight="false" outlineLevel="0" collapsed="false">
      <c r="A117" s="12" t="str">
        <f aca="false">IF(B117="","",112)</f>
        <v/>
      </c>
      <c r="B117" s="0" t="str">
        <f aca="false">IFERROR(SMALL(Recipes!$J$6:$J$305,112),"")</f>
        <v/>
      </c>
      <c r="C117" s="14" t="str">
        <f aca="false">IF(B117="","",IF(INDEX(Recipes!$E$6:$E$305,MATCH(B117,Recipes!$J$6:$J$305,0))="","Other",INDEX(Recipes!$E$6:$E$305,MATCH(B117,Recipes!$J$6:$J$305,0))))</f>
        <v/>
      </c>
      <c r="D117" s="12" t="str">
        <f aca="false">IF(B117="","",TRIM(INDEX(Recipes!$B$6:$B$305,MATCH(B117,Recipes!$J$6:$J$305,0))))</f>
        <v/>
      </c>
      <c r="E117" s="15" t="str">
        <f aca="false">IF(B117="","",SUMIF(Recipes!$I$6:$I$305,INDEX(Recipes!$I$6:$I$305,MATCH(B117,Recipes!$J$6:$J$305,0)),Recipes!$H$6:$H$305))</f>
        <v/>
      </c>
      <c r="F117" s="12" t="str">
        <f aca="false">IF(B117="","",TRIM(INDEX(Recipes!$D$6:$D$305,MATCH(B117,Recipes!$J$6:$J$305,0))))</f>
        <v/>
      </c>
      <c r="G117" s="12"/>
    </row>
    <row r="118" customFormat="false" ht="15" hidden="false" customHeight="false" outlineLevel="0" collapsed="false">
      <c r="A118" s="12" t="str">
        <f aca="false">IF(B118="","",113)</f>
        <v/>
      </c>
      <c r="B118" s="0" t="str">
        <f aca="false">IFERROR(SMALL(Recipes!$J$6:$J$305,113),"")</f>
        <v/>
      </c>
      <c r="C118" s="14" t="str">
        <f aca="false">IF(B118="","",IF(INDEX(Recipes!$E$6:$E$305,MATCH(B118,Recipes!$J$6:$J$305,0))="","Other",INDEX(Recipes!$E$6:$E$305,MATCH(B118,Recipes!$J$6:$J$305,0))))</f>
        <v/>
      </c>
      <c r="D118" s="12" t="str">
        <f aca="false">IF(B118="","",TRIM(INDEX(Recipes!$B$6:$B$305,MATCH(B118,Recipes!$J$6:$J$305,0))))</f>
        <v/>
      </c>
      <c r="E118" s="15" t="str">
        <f aca="false">IF(B118="","",SUMIF(Recipes!$I$6:$I$305,INDEX(Recipes!$I$6:$I$305,MATCH(B118,Recipes!$J$6:$J$305,0)),Recipes!$H$6:$H$305))</f>
        <v/>
      </c>
      <c r="F118" s="12" t="str">
        <f aca="false">IF(B118="","",TRIM(INDEX(Recipes!$D$6:$D$305,MATCH(B118,Recipes!$J$6:$J$305,0))))</f>
        <v/>
      </c>
      <c r="G118" s="12"/>
    </row>
    <row r="119" customFormat="false" ht="15" hidden="false" customHeight="false" outlineLevel="0" collapsed="false">
      <c r="A119" s="12" t="str">
        <f aca="false">IF(B119="","",114)</f>
        <v/>
      </c>
      <c r="B119" s="0" t="str">
        <f aca="false">IFERROR(SMALL(Recipes!$J$6:$J$305,114),"")</f>
        <v/>
      </c>
      <c r="C119" s="14" t="str">
        <f aca="false">IF(B119="","",IF(INDEX(Recipes!$E$6:$E$305,MATCH(B119,Recipes!$J$6:$J$305,0))="","Other",INDEX(Recipes!$E$6:$E$305,MATCH(B119,Recipes!$J$6:$J$305,0))))</f>
        <v/>
      </c>
      <c r="D119" s="12" t="str">
        <f aca="false">IF(B119="","",TRIM(INDEX(Recipes!$B$6:$B$305,MATCH(B119,Recipes!$J$6:$J$305,0))))</f>
        <v/>
      </c>
      <c r="E119" s="15" t="str">
        <f aca="false">IF(B119="","",SUMIF(Recipes!$I$6:$I$305,INDEX(Recipes!$I$6:$I$305,MATCH(B119,Recipes!$J$6:$J$305,0)),Recipes!$H$6:$H$305))</f>
        <v/>
      </c>
      <c r="F119" s="12" t="str">
        <f aca="false">IF(B119="","",TRIM(INDEX(Recipes!$D$6:$D$305,MATCH(B119,Recipes!$J$6:$J$305,0))))</f>
        <v/>
      </c>
      <c r="G119" s="12"/>
    </row>
    <row r="120" customFormat="false" ht="15" hidden="false" customHeight="false" outlineLevel="0" collapsed="false">
      <c r="A120" s="12" t="str">
        <f aca="false">IF(B120="","",115)</f>
        <v/>
      </c>
      <c r="B120" s="0" t="str">
        <f aca="false">IFERROR(SMALL(Recipes!$J$6:$J$305,115),"")</f>
        <v/>
      </c>
      <c r="C120" s="14" t="str">
        <f aca="false">IF(B120="","",IF(INDEX(Recipes!$E$6:$E$305,MATCH(B120,Recipes!$J$6:$J$305,0))="","Other",INDEX(Recipes!$E$6:$E$305,MATCH(B120,Recipes!$J$6:$J$305,0))))</f>
        <v/>
      </c>
      <c r="D120" s="12" t="str">
        <f aca="false">IF(B120="","",TRIM(INDEX(Recipes!$B$6:$B$305,MATCH(B120,Recipes!$J$6:$J$305,0))))</f>
        <v/>
      </c>
      <c r="E120" s="15" t="str">
        <f aca="false">IF(B120="","",SUMIF(Recipes!$I$6:$I$305,INDEX(Recipes!$I$6:$I$305,MATCH(B120,Recipes!$J$6:$J$305,0)),Recipes!$H$6:$H$305))</f>
        <v/>
      </c>
      <c r="F120" s="12" t="str">
        <f aca="false">IF(B120="","",TRIM(INDEX(Recipes!$D$6:$D$305,MATCH(B120,Recipes!$J$6:$J$305,0))))</f>
        <v/>
      </c>
      <c r="G120" s="12"/>
    </row>
    <row r="121" customFormat="false" ht="15" hidden="false" customHeight="false" outlineLevel="0" collapsed="false">
      <c r="A121" s="12" t="str">
        <f aca="false">IF(B121="","",116)</f>
        <v/>
      </c>
      <c r="B121" s="0" t="str">
        <f aca="false">IFERROR(SMALL(Recipes!$J$6:$J$305,116),"")</f>
        <v/>
      </c>
      <c r="C121" s="14" t="str">
        <f aca="false">IF(B121="","",IF(INDEX(Recipes!$E$6:$E$305,MATCH(B121,Recipes!$J$6:$J$305,0))="","Other",INDEX(Recipes!$E$6:$E$305,MATCH(B121,Recipes!$J$6:$J$305,0))))</f>
        <v/>
      </c>
      <c r="D121" s="12" t="str">
        <f aca="false">IF(B121="","",TRIM(INDEX(Recipes!$B$6:$B$305,MATCH(B121,Recipes!$J$6:$J$305,0))))</f>
        <v/>
      </c>
      <c r="E121" s="15" t="str">
        <f aca="false">IF(B121="","",SUMIF(Recipes!$I$6:$I$305,INDEX(Recipes!$I$6:$I$305,MATCH(B121,Recipes!$J$6:$J$305,0)),Recipes!$H$6:$H$305))</f>
        <v/>
      </c>
      <c r="F121" s="12" t="str">
        <f aca="false">IF(B121="","",TRIM(INDEX(Recipes!$D$6:$D$305,MATCH(B121,Recipes!$J$6:$J$305,0))))</f>
        <v/>
      </c>
      <c r="G121" s="12"/>
    </row>
    <row r="122" customFormat="false" ht="15" hidden="false" customHeight="false" outlineLevel="0" collapsed="false">
      <c r="A122" s="12" t="str">
        <f aca="false">IF(B122="","",117)</f>
        <v/>
      </c>
      <c r="B122" s="0" t="str">
        <f aca="false">IFERROR(SMALL(Recipes!$J$6:$J$305,117),"")</f>
        <v/>
      </c>
      <c r="C122" s="14" t="str">
        <f aca="false">IF(B122="","",IF(INDEX(Recipes!$E$6:$E$305,MATCH(B122,Recipes!$J$6:$J$305,0))="","Other",INDEX(Recipes!$E$6:$E$305,MATCH(B122,Recipes!$J$6:$J$305,0))))</f>
        <v/>
      </c>
      <c r="D122" s="12" t="str">
        <f aca="false">IF(B122="","",TRIM(INDEX(Recipes!$B$6:$B$305,MATCH(B122,Recipes!$J$6:$J$305,0))))</f>
        <v/>
      </c>
      <c r="E122" s="15" t="str">
        <f aca="false">IF(B122="","",SUMIF(Recipes!$I$6:$I$305,INDEX(Recipes!$I$6:$I$305,MATCH(B122,Recipes!$J$6:$J$305,0)),Recipes!$H$6:$H$305))</f>
        <v/>
      </c>
      <c r="F122" s="12" t="str">
        <f aca="false">IF(B122="","",TRIM(INDEX(Recipes!$D$6:$D$305,MATCH(B122,Recipes!$J$6:$J$305,0))))</f>
        <v/>
      </c>
      <c r="G122" s="12"/>
    </row>
    <row r="123" customFormat="false" ht="15" hidden="false" customHeight="false" outlineLevel="0" collapsed="false">
      <c r="A123" s="12" t="str">
        <f aca="false">IF(B123="","",118)</f>
        <v/>
      </c>
      <c r="B123" s="0" t="str">
        <f aca="false">IFERROR(SMALL(Recipes!$J$6:$J$305,118),"")</f>
        <v/>
      </c>
      <c r="C123" s="14" t="str">
        <f aca="false">IF(B123="","",IF(INDEX(Recipes!$E$6:$E$305,MATCH(B123,Recipes!$J$6:$J$305,0))="","Other",INDEX(Recipes!$E$6:$E$305,MATCH(B123,Recipes!$J$6:$J$305,0))))</f>
        <v/>
      </c>
      <c r="D123" s="12" t="str">
        <f aca="false">IF(B123="","",TRIM(INDEX(Recipes!$B$6:$B$305,MATCH(B123,Recipes!$J$6:$J$305,0))))</f>
        <v/>
      </c>
      <c r="E123" s="15" t="str">
        <f aca="false">IF(B123="","",SUMIF(Recipes!$I$6:$I$305,INDEX(Recipes!$I$6:$I$305,MATCH(B123,Recipes!$J$6:$J$305,0)),Recipes!$H$6:$H$305))</f>
        <v/>
      </c>
      <c r="F123" s="12" t="str">
        <f aca="false">IF(B123="","",TRIM(INDEX(Recipes!$D$6:$D$305,MATCH(B123,Recipes!$J$6:$J$305,0))))</f>
        <v/>
      </c>
      <c r="G123" s="12"/>
    </row>
    <row r="124" customFormat="false" ht="15" hidden="false" customHeight="false" outlineLevel="0" collapsed="false">
      <c r="A124" s="12" t="str">
        <f aca="false">IF(B124="","",119)</f>
        <v/>
      </c>
      <c r="B124" s="0" t="str">
        <f aca="false">IFERROR(SMALL(Recipes!$J$6:$J$305,119),"")</f>
        <v/>
      </c>
      <c r="C124" s="14" t="str">
        <f aca="false">IF(B124="","",IF(INDEX(Recipes!$E$6:$E$305,MATCH(B124,Recipes!$J$6:$J$305,0))="","Other",INDEX(Recipes!$E$6:$E$305,MATCH(B124,Recipes!$J$6:$J$305,0))))</f>
        <v/>
      </c>
      <c r="D124" s="12" t="str">
        <f aca="false">IF(B124="","",TRIM(INDEX(Recipes!$B$6:$B$305,MATCH(B124,Recipes!$J$6:$J$305,0))))</f>
        <v/>
      </c>
      <c r="E124" s="15" t="str">
        <f aca="false">IF(B124="","",SUMIF(Recipes!$I$6:$I$305,INDEX(Recipes!$I$6:$I$305,MATCH(B124,Recipes!$J$6:$J$305,0)),Recipes!$H$6:$H$305))</f>
        <v/>
      </c>
      <c r="F124" s="12" t="str">
        <f aca="false">IF(B124="","",TRIM(INDEX(Recipes!$D$6:$D$305,MATCH(B124,Recipes!$J$6:$J$305,0))))</f>
        <v/>
      </c>
      <c r="G124" s="12"/>
    </row>
    <row r="125" customFormat="false" ht="15" hidden="false" customHeight="false" outlineLevel="0" collapsed="false">
      <c r="A125" s="12" t="str">
        <f aca="false">IF(B125="","",120)</f>
        <v/>
      </c>
      <c r="B125" s="0" t="str">
        <f aca="false">IFERROR(SMALL(Recipes!$J$6:$J$305,120),"")</f>
        <v/>
      </c>
      <c r="C125" s="14" t="str">
        <f aca="false">IF(B125="","",IF(INDEX(Recipes!$E$6:$E$305,MATCH(B125,Recipes!$J$6:$J$305,0))="","Other",INDEX(Recipes!$E$6:$E$305,MATCH(B125,Recipes!$J$6:$J$305,0))))</f>
        <v/>
      </c>
      <c r="D125" s="12" t="str">
        <f aca="false">IF(B125="","",TRIM(INDEX(Recipes!$B$6:$B$305,MATCH(B125,Recipes!$J$6:$J$305,0))))</f>
        <v/>
      </c>
      <c r="E125" s="15" t="str">
        <f aca="false">IF(B125="","",SUMIF(Recipes!$I$6:$I$305,INDEX(Recipes!$I$6:$I$305,MATCH(B125,Recipes!$J$6:$J$305,0)),Recipes!$H$6:$H$305))</f>
        <v/>
      </c>
      <c r="F125" s="12" t="str">
        <f aca="false">IF(B125="","",TRIM(INDEX(Recipes!$D$6:$D$305,MATCH(B125,Recipes!$J$6:$J$305,0))))</f>
        <v/>
      </c>
      <c r="G125" s="12"/>
    </row>
    <row r="126" customFormat="false" ht="15" hidden="false" customHeight="false" outlineLevel="0" collapsed="false">
      <c r="A126" s="12" t="str">
        <f aca="false">IF(B126="","",121)</f>
        <v/>
      </c>
      <c r="B126" s="0" t="str">
        <f aca="false">IFERROR(SMALL(Recipes!$J$6:$J$305,121),"")</f>
        <v/>
      </c>
      <c r="C126" s="14" t="str">
        <f aca="false">IF(B126="","",IF(INDEX(Recipes!$E$6:$E$305,MATCH(B126,Recipes!$J$6:$J$305,0))="","Other",INDEX(Recipes!$E$6:$E$305,MATCH(B126,Recipes!$J$6:$J$305,0))))</f>
        <v/>
      </c>
      <c r="D126" s="12" t="str">
        <f aca="false">IF(B126="","",TRIM(INDEX(Recipes!$B$6:$B$305,MATCH(B126,Recipes!$J$6:$J$305,0))))</f>
        <v/>
      </c>
      <c r="E126" s="15" t="str">
        <f aca="false">IF(B126="","",SUMIF(Recipes!$I$6:$I$305,INDEX(Recipes!$I$6:$I$305,MATCH(B126,Recipes!$J$6:$J$305,0)),Recipes!$H$6:$H$305))</f>
        <v/>
      </c>
      <c r="F126" s="12" t="str">
        <f aca="false">IF(B126="","",TRIM(INDEX(Recipes!$D$6:$D$305,MATCH(B126,Recipes!$J$6:$J$305,0))))</f>
        <v/>
      </c>
      <c r="G126" s="12"/>
    </row>
    <row r="127" customFormat="false" ht="15" hidden="false" customHeight="false" outlineLevel="0" collapsed="false">
      <c r="A127" s="12" t="str">
        <f aca="false">IF(B127="","",122)</f>
        <v/>
      </c>
      <c r="B127" s="0" t="str">
        <f aca="false">IFERROR(SMALL(Recipes!$J$6:$J$305,122),"")</f>
        <v/>
      </c>
      <c r="C127" s="14" t="str">
        <f aca="false">IF(B127="","",IF(INDEX(Recipes!$E$6:$E$305,MATCH(B127,Recipes!$J$6:$J$305,0))="","Other",INDEX(Recipes!$E$6:$E$305,MATCH(B127,Recipes!$J$6:$J$305,0))))</f>
        <v/>
      </c>
      <c r="D127" s="12" t="str">
        <f aca="false">IF(B127="","",TRIM(INDEX(Recipes!$B$6:$B$305,MATCH(B127,Recipes!$J$6:$J$305,0))))</f>
        <v/>
      </c>
      <c r="E127" s="15" t="str">
        <f aca="false">IF(B127="","",SUMIF(Recipes!$I$6:$I$305,INDEX(Recipes!$I$6:$I$305,MATCH(B127,Recipes!$J$6:$J$305,0)),Recipes!$H$6:$H$305))</f>
        <v/>
      </c>
      <c r="F127" s="12" t="str">
        <f aca="false">IF(B127="","",TRIM(INDEX(Recipes!$D$6:$D$305,MATCH(B127,Recipes!$J$6:$J$305,0))))</f>
        <v/>
      </c>
      <c r="G127" s="12"/>
    </row>
    <row r="128" customFormat="false" ht="15" hidden="false" customHeight="false" outlineLevel="0" collapsed="false">
      <c r="A128" s="12" t="str">
        <f aca="false">IF(B128="","",123)</f>
        <v/>
      </c>
      <c r="B128" s="0" t="str">
        <f aca="false">IFERROR(SMALL(Recipes!$J$6:$J$305,123),"")</f>
        <v/>
      </c>
      <c r="C128" s="14" t="str">
        <f aca="false">IF(B128="","",IF(INDEX(Recipes!$E$6:$E$305,MATCH(B128,Recipes!$J$6:$J$305,0))="","Other",INDEX(Recipes!$E$6:$E$305,MATCH(B128,Recipes!$J$6:$J$305,0))))</f>
        <v/>
      </c>
      <c r="D128" s="12" t="str">
        <f aca="false">IF(B128="","",TRIM(INDEX(Recipes!$B$6:$B$305,MATCH(B128,Recipes!$J$6:$J$305,0))))</f>
        <v/>
      </c>
      <c r="E128" s="15" t="str">
        <f aca="false">IF(B128="","",SUMIF(Recipes!$I$6:$I$305,INDEX(Recipes!$I$6:$I$305,MATCH(B128,Recipes!$J$6:$J$305,0)),Recipes!$H$6:$H$305))</f>
        <v/>
      </c>
      <c r="F128" s="12" t="str">
        <f aca="false">IF(B128="","",TRIM(INDEX(Recipes!$D$6:$D$305,MATCH(B128,Recipes!$J$6:$J$305,0))))</f>
        <v/>
      </c>
      <c r="G128" s="12"/>
    </row>
    <row r="129" customFormat="false" ht="15" hidden="false" customHeight="false" outlineLevel="0" collapsed="false">
      <c r="A129" s="12" t="str">
        <f aca="false">IF(B129="","",124)</f>
        <v/>
      </c>
      <c r="B129" s="0" t="str">
        <f aca="false">IFERROR(SMALL(Recipes!$J$6:$J$305,124),"")</f>
        <v/>
      </c>
      <c r="C129" s="14" t="str">
        <f aca="false">IF(B129="","",IF(INDEX(Recipes!$E$6:$E$305,MATCH(B129,Recipes!$J$6:$J$305,0))="","Other",INDEX(Recipes!$E$6:$E$305,MATCH(B129,Recipes!$J$6:$J$305,0))))</f>
        <v/>
      </c>
      <c r="D129" s="12" t="str">
        <f aca="false">IF(B129="","",TRIM(INDEX(Recipes!$B$6:$B$305,MATCH(B129,Recipes!$J$6:$J$305,0))))</f>
        <v/>
      </c>
      <c r="E129" s="15" t="str">
        <f aca="false">IF(B129="","",SUMIF(Recipes!$I$6:$I$305,INDEX(Recipes!$I$6:$I$305,MATCH(B129,Recipes!$J$6:$J$305,0)),Recipes!$H$6:$H$305))</f>
        <v/>
      </c>
      <c r="F129" s="12" t="str">
        <f aca="false">IF(B129="","",TRIM(INDEX(Recipes!$D$6:$D$305,MATCH(B129,Recipes!$J$6:$J$305,0))))</f>
        <v/>
      </c>
      <c r="G129" s="12"/>
    </row>
    <row r="130" customFormat="false" ht="15" hidden="false" customHeight="false" outlineLevel="0" collapsed="false">
      <c r="A130" s="12" t="str">
        <f aca="false">IF(B130="","",125)</f>
        <v/>
      </c>
      <c r="B130" s="0" t="str">
        <f aca="false">IFERROR(SMALL(Recipes!$J$6:$J$305,125),"")</f>
        <v/>
      </c>
      <c r="C130" s="14" t="str">
        <f aca="false">IF(B130="","",IF(INDEX(Recipes!$E$6:$E$305,MATCH(B130,Recipes!$J$6:$J$305,0))="","Other",INDEX(Recipes!$E$6:$E$305,MATCH(B130,Recipes!$J$6:$J$305,0))))</f>
        <v/>
      </c>
      <c r="D130" s="12" t="str">
        <f aca="false">IF(B130="","",TRIM(INDEX(Recipes!$B$6:$B$305,MATCH(B130,Recipes!$J$6:$J$305,0))))</f>
        <v/>
      </c>
      <c r="E130" s="15" t="str">
        <f aca="false">IF(B130="","",SUMIF(Recipes!$I$6:$I$305,INDEX(Recipes!$I$6:$I$305,MATCH(B130,Recipes!$J$6:$J$305,0)),Recipes!$H$6:$H$305))</f>
        <v/>
      </c>
      <c r="F130" s="12" t="str">
        <f aca="false">IF(B130="","",TRIM(INDEX(Recipes!$D$6:$D$305,MATCH(B130,Recipes!$J$6:$J$305,0))))</f>
        <v/>
      </c>
      <c r="G130" s="12"/>
    </row>
    <row r="131" customFormat="false" ht="15" hidden="false" customHeight="false" outlineLevel="0" collapsed="false">
      <c r="A131" s="12" t="str">
        <f aca="false">IF(B131="","",126)</f>
        <v/>
      </c>
      <c r="B131" s="0" t="str">
        <f aca="false">IFERROR(SMALL(Recipes!$J$6:$J$305,126),"")</f>
        <v/>
      </c>
      <c r="C131" s="14" t="str">
        <f aca="false">IF(B131="","",IF(INDEX(Recipes!$E$6:$E$305,MATCH(B131,Recipes!$J$6:$J$305,0))="","Other",INDEX(Recipes!$E$6:$E$305,MATCH(B131,Recipes!$J$6:$J$305,0))))</f>
        <v/>
      </c>
      <c r="D131" s="12" t="str">
        <f aca="false">IF(B131="","",TRIM(INDEX(Recipes!$B$6:$B$305,MATCH(B131,Recipes!$J$6:$J$305,0))))</f>
        <v/>
      </c>
      <c r="E131" s="15" t="str">
        <f aca="false">IF(B131="","",SUMIF(Recipes!$I$6:$I$305,INDEX(Recipes!$I$6:$I$305,MATCH(B131,Recipes!$J$6:$J$305,0)),Recipes!$H$6:$H$305))</f>
        <v/>
      </c>
      <c r="F131" s="12" t="str">
        <f aca="false">IF(B131="","",TRIM(INDEX(Recipes!$D$6:$D$305,MATCH(B131,Recipes!$J$6:$J$305,0))))</f>
        <v/>
      </c>
      <c r="G131" s="12"/>
    </row>
    <row r="132" customFormat="false" ht="15" hidden="false" customHeight="false" outlineLevel="0" collapsed="false">
      <c r="A132" s="12" t="str">
        <f aca="false">IF(B132="","",127)</f>
        <v/>
      </c>
      <c r="B132" s="0" t="str">
        <f aca="false">IFERROR(SMALL(Recipes!$J$6:$J$305,127),"")</f>
        <v/>
      </c>
      <c r="C132" s="14" t="str">
        <f aca="false">IF(B132="","",IF(INDEX(Recipes!$E$6:$E$305,MATCH(B132,Recipes!$J$6:$J$305,0))="","Other",INDEX(Recipes!$E$6:$E$305,MATCH(B132,Recipes!$J$6:$J$305,0))))</f>
        <v/>
      </c>
      <c r="D132" s="12" t="str">
        <f aca="false">IF(B132="","",TRIM(INDEX(Recipes!$B$6:$B$305,MATCH(B132,Recipes!$J$6:$J$305,0))))</f>
        <v/>
      </c>
      <c r="E132" s="15" t="str">
        <f aca="false">IF(B132="","",SUMIF(Recipes!$I$6:$I$305,INDEX(Recipes!$I$6:$I$305,MATCH(B132,Recipes!$J$6:$J$305,0)),Recipes!$H$6:$H$305))</f>
        <v/>
      </c>
      <c r="F132" s="12" t="str">
        <f aca="false">IF(B132="","",TRIM(INDEX(Recipes!$D$6:$D$305,MATCH(B132,Recipes!$J$6:$J$305,0))))</f>
        <v/>
      </c>
      <c r="G132" s="12"/>
    </row>
    <row r="133" customFormat="false" ht="15" hidden="false" customHeight="false" outlineLevel="0" collapsed="false">
      <c r="A133" s="12" t="str">
        <f aca="false">IF(B133="","",128)</f>
        <v/>
      </c>
      <c r="B133" s="0" t="str">
        <f aca="false">IFERROR(SMALL(Recipes!$J$6:$J$305,128),"")</f>
        <v/>
      </c>
      <c r="C133" s="14" t="str">
        <f aca="false">IF(B133="","",IF(INDEX(Recipes!$E$6:$E$305,MATCH(B133,Recipes!$J$6:$J$305,0))="","Other",INDEX(Recipes!$E$6:$E$305,MATCH(B133,Recipes!$J$6:$J$305,0))))</f>
        <v/>
      </c>
      <c r="D133" s="12" t="str">
        <f aca="false">IF(B133="","",TRIM(INDEX(Recipes!$B$6:$B$305,MATCH(B133,Recipes!$J$6:$J$305,0))))</f>
        <v/>
      </c>
      <c r="E133" s="15" t="str">
        <f aca="false">IF(B133="","",SUMIF(Recipes!$I$6:$I$305,INDEX(Recipes!$I$6:$I$305,MATCH(B133,Recipes!$J$6:$J$305,0)),Recipes!$H$6:$H$305))</f>
        <v/>
      </c>
      <c r="F133" s="12" t="str">
        <f aca="false">IF(B133="","",TRIM(INDEX(Recipes!$D$6:$D$305,MATCH(B133,Recipes!$J$6:$J$305,0))))</f>
        <v/>
      </c>
      <c r="G133" s="12"/>
    </row>
    <row r="134" customFormat="false" ht="15" hidden="false" customHeight="false" outlineLevel="0" collapsed="false">
      <c r="A134" s="12" t="str">
        <f aca="false">IF(B134="","",129)</f>
        <v/>
      </c>
      <c r="B134" s="0" t="str">
        <f aca="false">IFERROR(SMALL(Recipes!$J$6:$J$305,129),"")</f>
        <v/>
      </c>
      <c r="C134" s="14" t="str">
        <f aca="false">IF(B134="","",IF(INDEX(Recipes!$E$6:$E$305,MATCH(B134,Recipes!$J$6:$J$305,0))="","Other",INDEX(Recipes!$E$6:$E$305,MATCH(B134,Recipes!$J$6:$J$305,0))))</f>
        <v/>
      </c>
      <c r="D134" s="12" t="str">
        <f aca="false">IF(B134="","",TRIM(INDEX(Recipes!$B$6:$B$305,MATCH(B134,Recipes!$J$6:$J$305,0))))</f>
        <v/>
      </c>
      <c r="E134" s="15" t="str">
        <f aca="false">IF(B134="","",SUMIF(Recipes!$I$6:$I$305,INDEX(Recipes!$I$6:$I$305,MATCH(B134,Recipes!$J$6:$J$305,0)),Recipes!$H$6:$H$305))</f>
        <v/>
      </c>
      <c r="F134" s="12" t="str">
        <f aca="false">IF(B134="","",TRIM(INDEX(Recipes!$D$6:$D$305,MATCH(B134,Recipes!$J$6:$J$305,0))))</f>
        <v/>
      </c>
      <c r="G134" s="12"/>
    </row>
    <row r="135" customFormat="false" ht="15" hidden="false" customHeight="false" outlineLevel="0" collapsed="false">
      <c r="A135" s="12" t="str">
        <f aca="false">IF(B135="","",130)</f>
        <v/>
      </c>
      <c r="B135" s="0" t="str">
        <f aca="false">IFERROR(SMALL(Recipes!$J$6:$J$305,130),"")</f>
        <v/>
      </c>
      <c r="C135" s="14" t="str">
        <f aca="false">IF(B135="","",IF(INDEX(Recipes!$E$6:$E$305,MATCH(B135,Recipes!$J$6:$J$305,0))="","Other",INDEX(Recipes!$E$6:$E$305,MATCH(B135,Recipes!$J$6:$J$305,0))))</f>
        <v/>
      </c>
      <c r="D135" s="12" t="str">
        <f aca="false">IF(B135="","",TRIM(INDEX(Recipes!$B$6:$B$305,MATCH(B135,Recipes!$J$6:$J$305,0))))</f>
        <v/>
      </c>
      <c r="E135" s="15" t="str">
        <f aca="false">IF(B135="","",SUMIF(Recipes!$I$6:$I$305,INDEX(Recipes!$I$6:$I$305,MATCH(B135,Recipes!$J$6:$J$305,0)),Recipes!$H$6:$H$305))</f>
        <v/>
      </c>
      <c r="F135" s="12" t="str">
        <f aca="false">IF(B135="","",TRIM(INDEX(Recipes!$D$6:$D$305,MATCH(B135,Recipes!$J$6:$J$305,0))))</f>
        <v/>
      </c>
      <c r="G135" s="12"/>
    </row>
    <row r="136" customFormat="false" ht="15" hidden="false" customHeight="false" outlineLevel="0" collapsed="false">
      <c r="A136" s="12" t="str">
        <f aca="false">IF(B136="","",131)</f>
        <v/>
      </c>
      <c r="B136" s="0" t="str">
        <f aca="false">IFERROR(SMALL(Recipes!$J$6:$J$305,131),"")</f>
        <v/>
      </c>
      <c r="C136" s="14" t="str">
        <f aca="false">IF(B136="","",IF(INDEX(Recipes!$E$6:$E$305,MATCH(B136,Recipes!$J$6:$J$305,0))="","Other",INDEX(Recipes!$E$6:$E$305,MATCH(B136,Recipes!$J$6:$J$305,0))))</f>
        <v/>
      </c>
      <c r="D136" s="12" t="str">
        <f aca="false">IF(B136="","",TRIM(INDEX(Recipes!$B$6:$B$305,MATCH(B136,Recipes!$J$6:$J$305,0))))</f>
        <v/>
      </c>
      <c r="E136" s="15" t="str">
        <f aca="false">IF(B136="","",SUMIF(Recipes!$I$6:$I$305,INDEX(Recipes!$I$6:$I$305,MATCH(B136,Recipes!$J$6:$J$305,0)),Recipes!$H$6:$H$305))</f>
        <v/>
      </c>
      <c r="F136" s="12" t="str">
        <f aca="false">IF(B136="","",TRIM(INDEX(Recipes!$D$6:$D$305,MATCH(B136,Recipes!$J$6:$J$305,0))))</f>
        <v/>
      </c>
      <c r="G136" s="12"/>
    </row>
    <row r="137" customFormat="false" ht="15" hidden="false" customHeight="false" outlineLevel="0" collapsed="false">
      <c r="A137" s="12" t="str">
        <f aca="false">IF(B137="","",132)</f>
        <v/>
      </c>
      <c r="B137" s="0" t="str">
        <f aca="false">IFERROR(SMALL(Recipes!$J$6:$J$305,132),"")</f>
        <v/>
      </c>
      <c r="C137" s="14" t="str">
        <f aca="false">IF(B137="","",IF(INDEX(Recipes!$E$6:$E$305,MATCH(B137,Recipes!$J$6:$J$305,0))="","Other",INDEX(Recipes!$E$6:$E$305,MATCH(B137,Recipes!$J$6:$J$305,0))))</f>
        <v/>
      </c>
      <c r="D137" s="12" t="str">
        <f aca="false">IF(B137="","",TRIM(INDEX(Recipes!$B$6:$B$305,MATCH(B137,Recipes!$J$6:$J$305,0))))</f>
        <v/>
      </c>
      <c r="E137" s="15" t="str">
        <f aca="false">IF(B137="","",SUMIF(Recipes!$I$6:$I$305,INDEX(Recipes!$I$6:$I$305,MATCH(B137,Recipes!$J$6:$J$305,0)),Recipes!$H$6:$H$305))</f>
        <v/>
      </c>
      <c r="F137" s="12" t="str">
        <f aca="false">IF(B137="","",TRIM(INDEX(Recipes!$D$6:$D$305,MATCH(B137,Recipes!$J$6:$J$305,0))))</f>
        <v/>
      </c>
      <c r="G137" s="12"/>
    </row>
    <row r="138" customFormat="false" ht="15" hidden="false" customHeight="false" outlineLevel="0" collapsed="false">
      <c r="A138" s="12" t="str">
        <f aca="false">IF(B138="","",133)</f>
        <v/>
      </c>
      <c r="B138" s="0" t="str">
        <f aca="false">IFERROR(SMALL(Recipes!$J$6:$J$305,133),"")</f>
        <v/>
      </c>
      <c r="C138" s="14" t="str">
        <f aca="false">IF(B138="","",IF(INDEX(Recipes!$E$6:$E$305,MATCH(B138,Recipes!$J$6:$J$305,0))="","Other",INDEX(Recipes!$E$6:$E$305,MATCH(B138,Recipes!$J$6:$J$305,0))))</f>
        <v/>
      </c>
      <c r="D138" s="12" t="str">
        <f aca="false">IF(B138="","",TRIM(INDEX(Recipes!$B$6:$B$305,MATCH(B138,Recipes!$J$6:$J$305,0))))</f>
        <v/>
      </c>
      <c r="E138" s="15" t="str">
        <f aca="false">IF(B138="","",SUMIF(Recipes!$I$6:$I$305,INDEX(Recipes!$I$6:$I$305,MATCH(B138,Recipes!$J$6:$J$305,0)),Recipes!$H$6:$H$305))</f>
        <v/>
      </c>
      <c r="F138" s="12" t="str">
        <f aca="false">IF(B138="","",TRIM(INDEX(Recipes!$D$6:$D$305,MATCH(B138,Recipes!$J$6:$J$305,0))))</f>
        <v/>
      </c>
      <c r="G138" s="12"/>
    </row>
    <row r="139" customFormat="false" ht="15" hidden="false" customHeight="false" outlineLevel="0" collapsed="false">
      <c r="A139" s="12" t="str">
        <f aca="false">IF(B139="","",134)</f>
        <v/>
      </c>
      <c r="B139" s="0" t="str">
        <f aca="false">IFERROR(SMALL(Recipes!$J$6:$J$305,134),"")</f>
        <v/>
      </c>
      <c r="C139" s="14" t="str">
        <f aca="false">IF(B139="","",IF(INDEX(Recipes!$E$6:$E$305,MATCH(B139,Recipes!$J$6:$J$305,0))="","Other",INDEX(Recipes!$E$6:$E$305,MATCH(B139,Recipes!$J$6:$J$305,0))))</f>
        <v/>
      </c>
      <c r="D139" s="12" t="str">
        <f aca="false">IF(B139="","",TRIM(INDEX(Recipes!$B$6:$B$305,MATCH(B139,Recipes!$J$6:$J$305,0))))</f>
        <v/>
      </c>
      <c r="E139" s="15" t="str">
        <f aca="false">IF(B139="","",SUMIF(Recipes!$I$6:$I$305,INDEX(Recipes!$I$6:$I$305,MATCH(B139,Recipes!$J$6:$J$305,0)),Recipes!$H$6:$H$305))</f>
        <v/>
      </c>
      <c r="F139" s="12" t="str">
        <f aca="false">IF(B139="","",TRIM(INDEX(Recipes!$D$6:$D$305,MATCH(B139,Recipes!$J$6:$J$305,0))))</f>
        <v/>
      </c>
      <c r="G139" s="12"/>
    </row>
    <row r="140" customFormat="false" ht="15" hidden="false" customHeight="false" outlineLevel="0" collapsed="false">
      <c r="A140" s="12" t="str">
        <f aca="false">IF(B140="","",135)</f>
        <v/>
      </c>
      <c r="B140" s="0" t="str">
        <f aca="false">IFERROR(SMALL(Recipes!$J$6:$J$305,135),"")</f>
        <v/>
      </c>
      <c r="C140" s="14" t="str">
        <f aca="false">IF(B140="","",IF(INDEX(Recipes!$E$6:$E$305,MATCH(B140,Recipes!$J$6:$J$305,0))="","Other",INDEX(Recipes!$E$6:$E$305,MATCH(B140,Recipes!$J$6:$J$305,0))))</f>
        <v/>
      </c>
      <c r="D140" s="12" t="str">
        <f aca="false">IF(B140="","",TRIM(INDEX(Recipes!$B$6:$B$305,MATCH(B140,Recipes!$J$6:$J$305,0))))</f>
        <v/>
      </c>
      <c r="E140" s="15" t="str">
        <f aca="false">IF(B140="","",SUMIF(Recipes!$I$6:$I$305,INDEX(Recipes!$I$6:$I$305,MATCH(B140,Recipes!$J$6:$J$305,0)),Recipes!$H$6:$H$305))</f>
        <v/>
      </c>
      <c r="F140" s="12" t="str">
        <f aca="false">IF(B140="","",TRIM(INDEX(Recipes!$D$6:$D$305,MATCH(B140,Recipes!$J$6:$J$305,0))))</f>
        <v/>
      </c>
      <c r="G140" s="12"/>
    </row>
    <row r="141" customFormat="false" ht="15" hidden="false" customHeight="false" outlineLevel="0" collapsed="false">
      <c r="A141" s="12" t="str">
        <f aca="false">IF(B141="","",136)</f>
        <v/>
      </c>
      <c r="B141" s="0" t="str">
        <f aca="false">IFERROR(SMALL(Recipes!$J$6:$J$305,136),"")</f>
        <v/>
      </c>
      <c r="C141" s="14" t="str">
        <f aca="false">IF(B141="","",IF(INDEX(Recipes!$E$6:$E$305,MATCH(B141,Recipes!$J$6:$J$305,0))="","Other",INDEX(Recipes!$E$6:$E$305,MATCH(B141,Recipes!$J$6:$J$305,0))))</f>
        <v/>
      </c>
      <c r="D141" s="12" t="str">
        <f aca="false">IF(B141="","",TRIM(INDEX(Recipes!$B$6:$B$305,MATCH(B141,Recipes!$J$6:$J$305,0))))</f>
        <v/>
      </c>
      <c r="E141" s="15" t="str">
        <f aca="false">IF(B141="","",SUMIF(Recipes!$I$6:$I$305,INDEX(Recipes!$I$6:$I$305,MATCH(B141,Recipes!$J$6:$J$305,0)),Recipes!$H$6:$H$305))</f>
        <v/>
      </c>
      <c r="F141" s="12" t="str">
        <f aca="false">IF(B141="","",TRIM(INDEX(Recipes!$D$6:$D$305,MATCH(B141,Recipes!$J$6:$J$305,0))))</f>
        <v/>
      </c>
      <c r="G141" s="12"/>
    </row>
    <row r="142" customFormat="false" ht="15" hidden="false" customHeight="false" outlineLevel="0" collapsed="false">
      <c r="A142" s="12" t="str">
        <f aca="false">IF(B142="","",137)</f>
        <v/>
      </c>
      <c r="B142" s="0" t="str">
        <f aca="false">IFERROR(SMALL(Recipes!$J$6:$J$305,137),"")</f>
        <v/>
      </c>
      <c r="C142" s="14" t="str">
        <f aca="false">IF(B142="","",IF(INDEX(Recipes!$E$6:$E$305,MATCH(B142,Recipes!$J$6:$J$305,0))="","Other",INDEX(Recipes!$E$6:$E$305,MATCH(B142,Recipes!$J$6:$J$305,0))))</f>
        <v/>
      </c>
      <c r="D142" s="12" t="str">
        <f aca="false">IF(B142="","",TRIM(INDEX(Recipes!$B$6:$B$305,MATCH(B142,Recipes!$J$6:$J$305,0))))</f>
        <v/>
      </c>
      <c r="E142" s="15" t="str">
        <f aca="false">IF(B142="","",SUMIF(Recipes!$I$6:$I$305,INDEX(Recipes!$I$6:$I$305,MATCH(B142,Recipes!$J$6:$J$305,0)),Recipes!$H$6:$H$305))</f>
        <v/>
      </c>
      <c r="F142" s="12" t="str">
        <f aca="false">IF(B142="","",TRIM(INDEX(Recipes!$D$6:$D$305,MATCH(B142,Recipes!$J$6:$J$305,0))))</f>
        <v/>
      </c>
      <c r="G142" s="12"/>
    </row>
    <row r="143" customFormat="false" ht="15" hidden="false" customHeight="false" outlineLevel="0" collapsed="false">
      <c r="A143" s="12" t="str">
        <f aca="false">IF(B143="","",138)</f>
        <v/>
      </c>
      <c r="B143" s="0" t="str">
        <f aca="false">IFERROR(SMALL(Recipes!$J$6:$J$305,138),"")</f>
        <v/>
      </c>
      <c r="C143" s="14" t="str">
        <f aca="false">IF(B143="","",IF(INDEX(Recipes!$E$6:$E$305,MATCH(B143,Recipes!$J$6:$J$305,0))="","Other",INDEX(Recipes!$E$6:$E$305,MATCH(B143,Recipes!$J$6:$J$305,0))))</f>
        <v/>
      </c>
      <c r="D143" s="12" t="str">
        <f aca="false">IF(B143="","",TRIM(INDEX(Recipes!$B$6:$B$305,MATCH(B143,Recipes!$J$6:$J$305,0))))</f>
        <v/>
      </c>
      <c r="E143" s="15" t="str">
        <f aca="false">IF(B143="","",SUMIF(Recipes!$I$6:$I$305,INDEX(Recipes!$I$6:$I$305,MATCH(B143,Recipes!$J$6:$J$305,0)),Recipes!$H$6:$H$305))</f>
        <v/>
      </c>
      <c r="F143" s="12" t="str">
        <f aca="false">IF(B143="","",TRIM(INDEX(Recipes!$D$6:$D$305,MATCH(B143,Recipes!$J$6:$J$305,0))))</f>
        <v/>
      </c>
      <c r="G143" s="12"/>
    </row>
    <row r="144" customFormat="false" ht="15" hidden="false" customHeight="false" outlineLevel="0" collapsed="false">
      <c r="A144" s="12" t="str">
        <f aca="false">IF(B144="","",139)</f>
        <v/>
      </c>
      <c r="B144" s="0" t="str">
        <f aca="false">IFERROR(SMALL(Recipes!$J$6:$J$305,139),"")</f>
        <v/>
      </c>
      <c r="C144" s="14" t="str">
        <f aca="false">IF(B144="","",IF(INDEX(Recipes!$E$6:$E$305,MATCH(B144,Recipes!$J$6:$J$305,0))="","Other",INDEX(Recipes!$E$6:$E$305,MATCH(B144,Recipes!$J$6:$J$305,0))))</f>
        <v/>
      </c>
      <c r="D144" s="12" t="str">
        <f aca="false">IF(B144="","",TRIM(INDEX(Recipes!$B$6:$B$305,MATCH(B144,Recipes!$J$6:$J$305,0))))</f>
        <v/>
      </c>
      <c r="E144" s="15" t="str">
        <f aca="false">IF(B144="","",SUMIF(Recipes!$I$6:$I$305,INDEX(Recipes!$I$6:$I$305,MATCH(B144,Recipes!$J$6:$J$305,0)),Recipes!$H$6:$H$305))</f>
        <v/>
      </c>
      <c r="F144" s="12" t="str">
        <f aca="false">IF(B144="","",TRIM(INDEX(Recipes!$D$6:$D$305,MATCH(B144,Recipes!$J$6:$J$305,0))))</f>
        <v/>
      </c>
      <c r="G144" s="12"/>
    </row>
    <row r="145" customFormat="false" ht="15" hidden="false" customHeight="false" outlineLevel="0" collapsed="false">
      <c r="A145" s="12" t="str">
        <f aca="false">IF(B145="","",140)</f>
        <v/>
      </c>
      <c r="B145" s="0" t="str">
        <f aca="false">IFERROR(SMALL(Recipes!$J$6:$J$305,140),"")</f>
        <v/>
      </c>
      <c r="C145" s="14" t="str">
        <f aca="false">IF(B145="","",IF(INDEX(Recipes!$E$6:$E$305,MATCH(B145,Recipes!$J$6:$J$305,0))="","Other",INDEX(Recipes!$E$6:$E$305,MATCH(B145,Recipes!$J$6:$J$305,0))))</f>
        <v/>
      </c>
      <c r="D145" s="12" t="str">
        <f aca="false">IF(B145="","",TRIM(INDEX(Recipes!$B$6:$B$305,MATCH(B145,Recipes!$J$6:$J$305,0))))</f>
        <v/>
      </c>
      <c r="E145" s="15" t="str">
        <f aca="false">IF(B145="","",SUMIF(Recipes!$I$6:$I$305,INDEX(Recipes!$I$6:$I$305,MATCH(B145,Recipes!$J$6:$J$305,0)),Recipes!$H$6:$H$305))</f>
        <v/>
      </c>
      <c r="F145" s="12" t="str">
        <f aca="false">IF(B145="","",TRIM(INDEX(Recipes!$D$6:$D$305,MATCH(B145,Recipes!$J$6:$J$305,0))))</f>
        <v/>
      </c>
      <c r="G145" s="12"/>
    </row>
    <row r="146" customFormat="false" ht="15" hidden="false" customHeight="false" outlineLevel="0" collapsed="false">
      <c r="A146" s="12" t="str">
        <f aca="false">IF(B146="","",141)</f>
        <v/>
      </c>
      <c r="B146" s="0" t="str">
        <f aca="false">IFERROR(SMALL(Recipes!$J$6:$J$305,141),"")</f>
        <v/>
      </c>
      <c r="C146" s="14" t="str">
        <f aca="false">IF(B146="","",IF(INDEX(Recipes!$E$6:$E$305,MATCH(B146,Recipes!$J$6:$J$305,0))="","Other",INDEX(Recipes!$E$6:$E$305,MATCH(B146,Recipes!$J$6:$J$305,0))))</f>
        <v/>
      </c>
      <c r="D146" s="12" t="str">
        <f aca="false">IF(B146="","",TRIM(INDEX(Recipes!$B$6:$B$305,MATCH(B146,Recipes!$J$6:$J$305,0))))</f>
        <v/>
      </c>
      <c r="E146" s="15" t="str">
        <f aca="false">IF(B146="","",SUMIF(Recipes!$I$6:$I$305,INDEX(Recipes!$I$6:$I$305,MATCH(B146,Recipes!$J$6:$J$305,0)),Recipes!$H$6:$H$305))</f>
        <v/>
      </c>
      <c r="F146" s="12" t="str">
        <f aca="false">IF(B146="","",TRIM(INDEX(Recipes!$D$6:$D$305,MATCH(B146,Recipes!$J$6:$J$305,0))))</f>
        <v/>
      </c>
      <c r="G146" s="12"/>
    </row>
    <row r="147" customFormat="false" ht="15" hidden="false" customHeight="false" outlineLevel="0" collapsed="false">
      <c r="A147" s="12" t="str">
        <f aca="false">IF(B147="","",142)</f>
        <v/>
      </c>
      <c r="B147" s="0" t="str">
        <f aca="false">IFERROR(SMALL(Recipes!$J$6:$J$305,142),"")</f>
        <v/>
      </c>
      <c r="C147" s="14" t="str">
        <f aca="false">IF(B147="","",IF(INDEX(Recipes!$E$6:$E$305,MATCH(B147,Recipes!$J$6:$J$305,0))="","Other",INDEX(Recipes!$E$6:$E$305,MATCH(B147,Recipes!$J$6:$J$305,0))))</f>
        <v/>
      </c>
      <c r="D147" s="12" t="str">
        <f aca="false">IF(B147="","",TRIM(INDEX(Recipes!$B$6:$B$305,MATCH(B147,Recipes!$J$6:$J$305,0))))</f>
        <v/>
      </c>
      <c r="E147" s="15" t="str">
        <f aca="false">IF(B147="","",SUMIF(Recipes!$I$6:$I$305,INDEX(Recipes!$I$6:$I$305,MATCH(B147,Recipes!$J$6:$J$305,0)),Recipes!$H$6:$H$305))</f>
        <v/>
      </c>
      <c r="F147" s="12" t="str">
        <f aca="false">IF(B147="","",TRIM(INDEX(Recipes!$D$6:$D$305,MATCH(B147,Recipes!$J$6:$J$305,0))))</f>
        <v/>
      </c>
      <c r="G147" s="12"/>
    </row>
    <row r="148" customFormat="false" ht="15" hidden="false" customHeight="false" outlineLevel="0" collapsed="false">
      <c r="A148" s="12" t="str">
        <f aca="false">IF(B148="","",143)</f>
        <v/>
      </c>
      <c r="B148" s="0" t="str">
        <f aca="false">IFERROR(SMALL(Recipes!$J$6:$J$305,143),"")</f>
        <v/>
      </c>
      <c r="C148" s="14" t="str">
        <f aca="false">IF(B148="","",IF(INDEX(Recipes!$E$6:$E$305,MATCH(B148,Recipes!$J$6:$J$305,0))="","Other",INDEX(Recipes!$E$6:$E$305,MATCH(B148,Recipes!$J$6:$J$305,0))))</f>
        <v/>
      </c>
      <c r="D148" s="12" t="str">
        <f aca="false">IF(B148="","",TRIM(INDEX(Recipes!$B$6:$B$305,MATCH(B148,Recipes!$J$6:$J$305,0))))</f>
        <v/>
      </c>
      <c r="E148" s="15" t="str">
        <f aca="false">IF(B148="","",SUMIF(Recipes!$I$6:$I$305,INDEX(Recipes!$I$6:$I$305,MATCH(B148,Recipes!$J$6:$J$305,0)),Recipes!$H$6:$H$305))</f>
        <v/>
      </c>
      <c r="F148" s="12" t="str">
        <f aca="false">IF(B148="","",TRIM(INDEX(Recipes!$D$6:$D$305,MATCH(B148,Recipes!$J$6:$J$305,0))))</f>
        <v/>
      </c>
      <c r="G148" s="12"/>
    </row>
    <row r="149" customFormat="false" ht="15" hidden="false" customHeight="false" outlineLevel="0" collapsed="false">
      <c r="A149" s="12" t="str">
        <f aca="false">IF(B149="","",144)</f>
        <v/>
      </c>
      <c r="B149" s="0" t="str">
        <f aca="false">IFERROR(SMALL(Recipes!$J$6:$J$305,144),"")</f>
        <v/>
      </c>
      <c r="C149" s="14" t="str">
        <f aca="false">IF(B149="","",IF(INDEX(Recipes!$E$6:$E$305,MATCH(B149,Recipes!$J$6:$J$305,0))="","Other",INDEX(Recipes!$E$6:$E$305,MATCH(B149,Recipes!$J$6:$J$305,0))))</f>
        <v/>
      </c>
      <c r="D149" s="12" t="str">
        <f aca="false">IF(B149="","",TRIM(INDEX(Recipes!$B$6:$B$305,MATCH(B149,Recipes!$J$6:$J$305,0))))</f>
        <v/>
      </c>
      <c r="E149" s="15" t="str">
        <f aca="false">IF(B149="","",SUMIF(Recipes!$I$6:$I$305,INDEX(Recipes!$I$6:$I$305,MATCH(B149,Recipes!$J$6:$J$305,0)),Recipes!$H$6:$H$305))</f>
        <v/>
      </c>
      <c r="F149" s="12" t="str">
        <f aca="false">IF(B149="","",TRIM(INDEX(Recipes!$D$6:$D$305,MATCH(B149,Recipes!$J$6:$J$305,0))))</f>
        <v/>
      </c>
      <c r="G149" s="12"/>
    </row>
    <row r="150" customFormat="false" ht="15" hidden="false" customHeight="false" outlineLevel="0" collapsed="false">
      <c r="A150" s="12" t="str">
        <f aca="false">IF(B150="","",145)</f>
        <v/>
      </c>
      <c r="B150" s="0" t="str">
        <f aca="false">IFERROR(SMALL(Recipes!$J$6:$J$305,145),"")</f>
        <v/>
      </c>
      <c r="C150" s="14" t="str">
        <f aca="false">IF(B150="","",IF(INDEX(Recipes!$E$6:$E$305,MATCH(B150,Recipes!$J$6:$J$305,0))="","Other",INDEX(Recipes!$E$6:$E$305,MATCH(B150,Recipes!$J$6:$J$305,0))))</f>
        <v/>
      </c>
      <c r="D150" s="12" t="str">
        <f aca="false">IF(B150="","",TRIM(INDEX(Recipes!$B$6:$B$305,MATCH(B150,Recipes!$J$6:$J$305,0))))</f>
        <v/>
      </c>
      <c r="E150" s="15" t="str">
        <f aca="false">IF(B150="","",SUMIF(Recipes!$I$6:$I$305,INDEX(Recipes!$I$6:$I$305,MATCH(B150,Recipes!$J$6:$J$305,0)),Recipes!$H$6:$H$305))</f>
        <v/>
      </c>
      <c r="F150" s="12" t="str">
        <f aca="false">IF(B150="","",TRIM(INDEX(Recipes!$D$6:$D$305,MATCH(B150,Recipes!$J$6:$J$305,0))))</f>
        <v/>
      </c>
      <c r="G150" s="12"/>
    </row>
    <row r="151" customFormat="false" ht="15" hidden="false" customHeight="false" outlineLevel="0" collapsed="false">
      <c r="A151" s="12" t="str">
        <f aca="false">IF(B151="","",146)</f>
        <v/>
      </c>
      <c r="B151" s="0" t="str">
        <f aca="false">IFERROR(SMALL(Recipes!$J$6:$J$305,146),"")</f>
        <v/>
      </c>
      <c r="C151" s="14" t="str">
        <f aca="false">IF(B151="","",IF(INDEX(Recipes!$E$6:$E$305,MATCH(B151,Recipes!$J$6:$J$305,0))="","Other",INDEX(Recipes!$E$6:$E$305,MATCH(B151,Recipes!$J$6:$J$305,0))))</f>
        <v/>
      </c>
      <c r="D151" s="12" t="str">
        <f aca="false">IF(B151="","",TRIM(INDEX(Recipes!$B$6:$B$305,MATCH(B151,Recipes!$J$6:$J$305,0))))</f>
        <v/>
      </c>
      <c r="E151" s="15" t="str">
        <f aca="false">IF(B151="","",SUMIF(Recipes!$I$6:$I$305,INDEX(Recipes!$I$6:$I$305,MATCH(B151,Recipes!$J$6:$J$305,0)),Recipes!$H$6:$H$305))</f>
        <v/>
      </c>
      <c r="F151" s="12" t="str">
        <f aca="false">IF(B151="","",TRIM(INDEX(Recipes!$D$6:$D$305,MATCH(B151,Recipes!$J$6:$J$305,0))))</f>
        <v/>
      </c>
      <c r="G151" s="12"/>
    </row>
    <row r="152" customFormat="false" ht="15" hidden="false" customHeight="false" outlineLevel="0" collapsed="false">
      <c r="A152" s="12" t="str">
        <f aca="false">IF(B152="","",147)</f>
        <v/>
      </c>
      <c r="B152" s="0" t="str">
        <f aca="false">IFERROR(SMALL(Recipes!$J$6:$J$305,147),"")</f>
        <v/>
      </c>
      <c r="C152" s="14" t="str">
        <f aca="false">IF(B152="","",IF(INDEX(Recipes!$E$6:$E$305,MATCH(B152,Recipes!$J$6:$J$305,0))="","Other",INDEX(Recipes!$E$6:$E$305,MATCH(B152,Recipes!$J$6:$J$305,0))))</f>
        <v/>
      </c>
      <c r="D152" s="12" t="str">
        <f aca="false">IF(B152="","",TRIM(INDEX(Recipes!$B$6:$B$305,MATCH(B152,Recipes!$J$6:$J$305,0))))</f>
        <v/>
      </c>
      <c r="E152" s="15" t="str">
        <f aca="false">IF(B152="","",SUMIF(Recipes!$I$6:$I$305,INDEX(Recipes!$I$6:$I$305,MATCH(B152,Recipes!$J$6:$J$305,0)),Recipes!$H$6:$H$305))</f>
        <v/>
      </c>
      <c r="F152" s="12" t="str">
        <f aca="false">IF(B152="","",TRIM(INDEX(Recipes!$D$6:$D$305,MATCH(B152,Recipes!$J$6:$J$305,0))))</f>
        <v/>
      </c>
      <c r="G152" s="12"/>
    </row>
    <row r="153" customFormat="false" ht="15" hidden="false" customHeight="false" outlineLevel="0" collapsed="false">
      <c r="A153" s="12" t="str">
        <f aca="false">IF(B153="","",148)</f>
        <v/>
      </c>
      <c r="B153" s="0" t="str">
        <f aca="false">IFERROR(SMALL(Recipes!$J$6:$J$305,148),"")</f>
        <v/>
      </c>
      <c r="C153" s="14" t="str">
        <f aca="false">IF(B153="","",IF(INDEX(Recipes!$E$6:$E$305,MATCH(B153,Recipes!$J$6:$J$305,0))="","Other",INDEX(Recipes!$E$6:$E$305,MATCH(B153,Recipes!$J$6:$J$305,0))))</f>
        <v/>
      </c>
      <c r="D153" s="12" t="str">
        <f aca="false">IF(B153="","",TRIM(INDEX(Recipes!$B$6:$B$305,MATCH(B153,Recipes!$J$6:$J$305,0))))</f>
        <v/>
      </c>
      <c r="E153" s="15" t="str">
        <f aca="false">IF(B153="","",SUMIF(Recipes!$I$6:$I$305,INDEX(Recipes!$I$6:$I$305,MATCH(B153,Recipes!$J$6:$J$305,0)),Recipes!$H$6:$H$305))</f>
        <v/>
      </c>
      <c r="F153" s="12" t="str">
        <f aca="false">IF(B153="","",TRIM(INDEX(Recipes!$D$6:$D$305,MATCH(B153,Recipes!$J$6:$J$305,0))))</f>
        <v/>
      </c>
      <c r="G153" s="12"/>
    </row>
    <row r="154" customFormat="false" ht="15" hidden="false" customHeight="false" outlineLevel="0" collapsed="false">
      <c r="A154" s="12" t="str">
        <f aca="false">IF(B154="","",149)</f>
        <v/>
      </c>
      <c r="B154" s="0" t="str">
        <f aca="false">IFERROR(SMALL(Recipes!$J$6:$J$305,149),"")</f>
        <v/>
      </c>
      <c r="C154" s="14" t="str">
        <f aca="false">IF(B154="","",IF(INDEX(Recipes!$E$6:$E$305,MATCH(B154,Recipes!$J$6:$J$305,0))="","Other",INDEX(Recipes!$E$6:$E$305,MATCH(B154,Recipes!$J$6:$J$305,0))))</f>
        <v/>
      </c>
      <c r="D154" s="12" t="str">
        <f aca="false">IF(B154="","",TRIM(INDEX(Recipes!$B$6:$B$305,MATCH(B154,Recipes!$J$6:$J$305,0))))</f>
        <v/>
      </c>
      <c r="E154" s="15" t="str">
        <f aca="false">IF(B154="","",SUMIF(Recipes!$I$6:$I$305,INDEX(Recipes!$I$6:$I$305,MATCH(B154,Recipes!$J$6:$J$305,0)),Recipes!$H$6:$H$305))</f>
        <v/>
      </c>
      <c r="F154" s="12" t="str">
        <f aca="false">IF(B154="","",TRIM(INDEX(Recipes!$D$6:$D$305,MATCH(B154,Recipes!$J$6:$J$305,0))))</f>
        <v/>
      </c>
      <c r="G154" s="12"/>
    </row>
    <row r="155" customFormat="false" ht="15" hidden="false" customHeight="false" outlineLevel="0" collapsed="false">
      <c r="A155" s="12" t="str">
        <f aca="false">IF(B155="","",150)</f>
        <v/>
      </c>
      <c r="B155" s="0" t="str">
        <f aca="false">IFERROR(SMALL(Recipes!$J$6:$J$305,150),"")</f>
        <v/>
      </c>
      <c r="C155" s="14" t="str">
        <f aca="false">IF(B155="","",IF(INDEX(Recipes!$E$6:$E$305,MATCH(B155,Recipes!$J$6:$J$305,0))="","Other",INDEX(Recipes!$E$6:$E$305,MATCH(B155,Recipes!$J$6:$J$305,0))))</f>
        <v/>
      </c>
      <c r="D155" s="12" t="str">
        <f aca="false">IF(B155="","",TRIM(INDEX(Recipes!$B$6:$B$305,MATCH(B155,Recipes!$J$6:$J$305,0))))</f>
        <v/>
      </c>
      <c r="E155" s="15" t="str">
        <f aca="false">IF(B155="","",SUMIF(Recipes!$I$6:$I$305,INDEX(Recipes!$I$6:$I$305,MATCH(B155,Recipes!$J$6:$J$305,0)),Recipes!$H$6:$H$305))</f>
        <v/>
      </c>
      <c r="F155" s="12" t="str">
        <f aca="false">IF(B155="","",TRIM(INDEX(Recipes!$D$6:$D$305,MATCH(B155,Recipes!$J$6:$J$305,0))))</f>
        <v/>
      </c>
      <c r="G15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C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5" t="s">
        <v>49</v>
      </c>
    </row>
    <row r="2" customFormat="false" ht="15" hidden="false" customHeight="false" outlineLevel="0" collapsed="false">
      <c r="A2" s="8" t="s">
        <v>50</v>
      </c>
    </row>
    <row r="5" customFormat="false" ht="15" hidden="false" customHeight="false" outlineLevel="0" collapsed="false">
      <c r="A5" s="9" t="s">
        <v>51</v>
      </c>
      <c r="B5" s="9" t="s">
        <v>52</v>
      </c>
      <c r="C5" s="9" t="s">
        <v>53</v>
      </c>
    </row>
    <row r="6" customFormat="false" ht="15" hidden="false" customHeight="false" outlineLevel="0" collapsed="false">
      <c r="A6" s="10" t="s">
        <v>23</v>
      </c>
      <c r="B6" s="7" t="n">
        <v>2</v>
      </c>
      <c r="C6" s="10"/>
    </row>
    <row r="7" customFormat="false" ht="15" hidden="false" customHeight="false" outlineLevel="0" collapsed="false">
      <c r="A7" s="10" t="s">
        <v>24</v>
      </c>
      <c r="B7" s="7" t="n">
        <v>2</v>
      </c>
      <c r="C7" s="10"/>
    </row>
    <row r="8" customFormat="false" ht="15" hidden="false" customHeight="false" outlineLevel="0" collapsed="false">
      <c r="A8" s="10" t="s">
        <v>25</v>
      </c>
      <c r="B8" s="7" t="n">
        <v>4</v>
      </c>
      <c r="C8" s="10"/>
    </row>
    <row r="9" customFormat="false" ht="15" hidden="false" customHeight="false" outlineLevel="0" collapsed="false">
      <c r="A9" s="10" t="s">
        <v>28</v>
      </c>
      <c r="B9" s="7" t="n">
        <v>4</v>
      </c>
      <c r="C9" s="10"/>
    </row>
    <row r="10" customFormat="false" ht="15" hidden="false" customHeight="false" outlineLevel="0" collapsed="false">
      <c r="A10" s="10" t="s">
        <v>31</v>
      </c>
      <c r="B10" s="7" t="n">
        <v>4</v>
      </c>
      <c r="C10" s="10"/>
    </row>
    <row r="11" customFormat="false" ht="15" hidden="false" customHeight="false" outlineLevel="0" collapsed="false">
      <c r="A11" s="10" t="s">
        <v>33</v>
      </c>
      <c r="B11" s="7" t="n">
        <v>4</v>
      </c>
      <c r="C11" s="10"/>
    </row>
    <row r="12" customFormat="false" ht="15" hidden="false" customHeight="false" outlineLevel="0" collapsed="false">
      <c r="A12" s="10" t="s">
        <v>35</v>
      </c>
      <c r="B12" s="7" t="n">
        <v>4</v>
      </c>
      <c r="C12" s="10"/>
    </row>
    <row r="13" customFormat="false" ht="15" hidden="false" customHeight="false" outlineLevel="0" collapsed="false">
      <c r="A13" s="10" t="s">
        <v>30</v>
      </c>
      <c r="B13" s="7" t="n">
        <v>6</v>
      </c>
      <c r="C13" s="10"/>
    </row>
    <row r="14" customFormat="false" ht="15" hidden="false" customHeight="false" outlineLevel="0" collapsed="false">
      <c r="A14" s="10" t="s">
        <v>26</v>
      </c>
      <c r="B14" s="7" t="n">
        <v>2</v>
      </c>
      <c r="C14" s="10"/>
    </row>
    <row r="15" customFormat="false" ht="15" hidden="false" customHeight="false" outlineLevel="0" collapsed="false">
      <c r="A15" s="10"/>
      <c r="B15" s="7"/>
      <c r="C15" s="10"/>
    </row>
    <row r="16" customFormat="false" ht="15" hidden="false" customHeight="false" outlineLevel="0" collapsed="false">
      <c r="A16" s="10"/>
      <c r="B16" s="7"/>
      <c r="C16" s="10"/>
    </row>
    <row r="17" customFormat="false" ht="15" hidden="false" customHeight="false" outlineLevel="0" collapsed="false">
      <c r="A17" s="10"/>
      <c r="B17" s="7"/>
      <c r="C17" s="10"/>
    </row>
    <row r="18" customFormat="false" ht="15" hidden="false" customHeight="false" outlineLevel="0" collapsed="false">
      <c r="A18" s="10"/>
      <c r="B18" s="7"/>
      <c r="C18" s="10"/>
    </row>
    <row r="19" customFormat="false" ht="15" hidden="false" customHeight="false" outlineLevel="0" collapsed="false">
      <c r="A19" s="10"/>
      <c r="B19" s="7"/>
      <c r="C19" s="10"/>
    </row>
    <row r="20" customFormat="false" ht="15" hidden="false" customHeight="false" outlineLevel="0" collapsed="false">
      <c r="A20" s="10"/>
      <c r="B20" s="7"/>
      <c r="C20" s="10"/>
    </row>
    <row r="21" customFormat="false" ht="15" hidden="false" customHeight="false" outlineLevel="0" collapsed="false">
      <c r="A21" s="10"/>
      <c r="B21" s="7"/>
      <c r="C21" s="10"/>
    </row>
    <row r="22" customFormat="false" ht="15" hidden="false" customHeight="false" outlineLevel="0" collapsed="false">
      <c r="A22" s="10"/>
      <c r="B22" s="7"/>
      <c r="C22" s="10"/>
    </row>
    <row r="23" customFormat="false" ht="15" hidden="false" customHeight="false" outlineLevel="0" collapsed="false">
      <c r="A23" s="10"/>
      <c r="B23" s="7"/>
      <c r="C23" s="10"/>
    </row>
    <row r="24" customFormat="false" ht="15" hidden="false" customHeight="false" outlineLevel="0" collapsed="false">
      <c r="A24" s="10"/>
      <c r="B24" s="7"/>
      <c r="C24" s="10"/>
    </row>
    <row r="25" customFormat="false" ht="15" hidden="false" customHeight="false" outlineLevel="0" collapsed="false">
      <c r="A25" s="10"/>
      <c r="B25" s="7"/>
      <c r="C25" s="10"/>
    </row>
    <row r="26" customFormat="false" ht="15" hidden="false" customHeight="false" outlineLevel="0" collapsed="false">
      <c r="A26" s="10"/>
      <c r="B26" s="7"/>
      <c r="C26" s="10"/>
    </row>
    <row r="27" customFormat="false" ht="15" hidden="false" customHeight="false" outlineLevel="0" collapsed="false">
      <c r="A27" s="10"/>
      <c r="B27" s="7"/>
      <c r="C27" s="10"/>
    </row>
    <row r="28" customFormat="false" ht="15" hidden="false" customHeight="false" outlineLevel="0" collapsed="false">
      <c r="A28" s="10"/>
      <c r="B28" s="7"/>
      <c r="C28" s="10"/>
    </row>
    <row r="29" customFormat="false" ht="15" hidden="false" customHeight="false" outlineLevel="0" collapsed="false">
      <c r="A29" s="10"/>
      <c r="B29" s="7"/>
      <c r="C29" s="10"/>
    </row>
    <row r="30" customFormat="false" ht="15" hidden="false" customHeight="false" outlineLevel="0" collapsed="false">
      <c r="A30" s="10"/>
      <c r="B30" s="7"/>
      <c r="C30" s="10"/>
    </row>
    <row r="31" customFormat="false" ht="15" hidden="false" customHeight="false" outlineLevel="0" collapsed="false">
      <c r="A31" s="10"/>
      <c r="B31" s="7"/>
      <c r="C31" s="10"/>
    </row>
    <row r="32" customFormat="false" ht="15" hidden="false" customHeight="false" outlineLevel="0" collapsed="false">
      <c r="A32" s="10"/>
      <c r="B32" s="7"/>
      <c r="C32" s="10"/>
    </row>
    <row r="33" customFormat="false" ht="15" hidden="false" customHeight="false" outlineLevel="0" collapsed="false">
      <c r="A33" s="10"/>
      <c r="B33" s="7"/>
      <c r="C33" s="10"/>
    </row>
    <row r="34" customFormat="false" ht="15" hidden="false" customHeight="false" outlineLevel="0" collapsed="false">
      <c r="A34" s="10"/>
      <c r="B34" s="7"/>
      <c r="C34" s="10"/>
    </row>
    <row r="35" customFormat="false" ht="15" hidden="false" customHeight="false" outlineLevel="0" collapsed="false">
      <c r="A35" s="10"/>
      <c r="B35" s="7"/>
      <c r="C35" s="10"/>
    </row>
    <row r="36" customFormat="false" ht="15" hidden="false" customHeight="false" outlineLevel="0" collapsed="false">
      <c r="A36" s="10"/>
      <c r="B36" s="7"/>
      <c r="C36" s="10"/>
    </row>
    <row r="37" customFormat="false" ht="15" hidden="false" customHeight="false" outlineLevel="0" collapsed="false">
      <c r="A37" s="10"/>
      <c r="B37" s="7"/>
      <c r="C37" s="10"/>
    </row>
    <row r="38" customFormat="false" ht="15" hidden="false" customHeight="false" outlineLevel="0" collapsed="false">
      <c r="A38" s="10"/>
      <c r="B38" s="7"/>
      <c r="C38" s="10"/>
    </row>
    <row r="39" customFormat="false" ht="15" hidden="false" customHeight="false" outlineLevel="0" collapsed="false">
      <c r="A39" s="10"/>
      <c r="B39" s="7"/>
      <c r="C39" s="10"/>
    </row>
    <row r="40" customFormat="false" ht="15" hidden="false" customHeight="false" outlineLevel="0" collapsed="false">
      <c r="A40" s="10"/>
      <c r="B40" s="7"/>
      <c r="C40" s="10"/>
    </row>
    <row r="41" customFormat="false" ht="15" hidden="false" customHeight="false" outlineLevel="0" collapsed="false">
      <c r="A41" s="10"/>
      <c r="B41" s="7"/>
      <c r="C41" s="10"/>
    </row>
    <row r="42" customFormat="false" ht="15" hidden="false" customHeight="false" outlineLevel="0" collapsed="false">
      <c r="A42" s="10"/>
      <c r="B42" s="7"/>
      <c r="C42" s="10"/>
    </row>
    <row r="43" customFormat="false" ht="15" hidden="false" customHeight="false" outlineLevel="0" collapsed="false">
      <c r="A43" s="10"/>
      <c r="B43" s="7"/>
      <c r="C43" s="10"/>
    </row>
    <row r="44" customFormat="false" ht="15" hidden="false" customHeight="false" outlineLevel="0" collapsed="false">
      <c r="A44" s="10"/>
      <c r="B44" s="7"/>
      <c r="C44" s="10"/>
    </row>
    <row r="45" customFormat="false" ht="15" hidden="false" customHeight="false" outlineLevel="0" collapsed="false">
      <c r="A45" s="10"/>
      <c r="B45" s="7"/>
      <c r="C45" s="10"/>
    </row>
    <row r="46" customFormat="false" ht="15" hidden="false" customHeight="false" outlineLevel="0" collapsed="false">
      <c r="A46" s="10"/>
      <c r="B46" s="7"/>
      <c r="C46" s="10"/>
    </row>
    <row r="47" customFormat="false" ht="15" hidden="false" customHeight="false" outlineLevel="0" collapsed="false">
      <c r="A47" s="10"/>
      <c r="B47" s="7"/>
      <c r="C47" s="10"/>
    </row>
    <row r="48" customFormat="false" ht="15" hidden="false" customHeight="false" outlineLevel="0" collapsed="false">
      <c r="A48" s="10"/>
      <c r="B48" s="7"/>
      <c r="C48" s="10"/>
    </row>
    <row r="49" customFormat="false" ht="15" hidden="false" customHeight="false" outlineLevel="0" collapsed="false">
      <c r="A49" s="10"/>
      <c r="B49" s="7"/>
      <c r="C49" s="10"/>
    </row>
    <row r="50" customFormat="false" ht="15" hidden="false" customHeight="false" outlineLevel="0" collapsed="false">
      <c r="A50" s="10"/>
      <c r="B50" s="7"/>
      <c r="C50" s="10"/>
    </row>
    <row r="51" customFormat="false" ht="15" hidden="false" customHeight="false" outlineLevel="0" collapsed="false">
      <c r="A51" s="10"/>
      <c r="B51" s="7"/>
      <c r="C51" s="10"/>
    </row>
    <row r="52" customFormat="false" ht="15" hidden="false" customHeight="false" outlineLevel="0" collapsed="false">
      <c r="A52" s="10"/>
      <c r="B52" s="7"/>
      <c r="C52" s="10"/>
    </row>
    <row r="53" customFormat="false" ht="15" hidden="false" customHeight="false" outlineLevel="0" collapsed="false">
      <c r="A53" s="10"/>
      <c r="B53" s="7"/>
      <c r="C53" s="10"/>
    </row>
    <row r="54" customFormat="false" ht="15" hidden="false" customHeight="false" outlineLevel="0" collapsed="false">
      <c r="A54" s="10"/>
      <c r="B54" s="7"/>
      <c r="C54" s="10"/>
    </row>
    <row r="55" customFormat="false" ht="15" hidden="false" customHeight="false" outlineLevel="0" collapsed="false">
      <c r="A55" s="10"/>
      <c r="B55" s="7"/>
      <c r="C55" s="10"/>
    </row>
    <row r="56" customFormat="false" ht="15" hidden="false" customHeight="false" outlineLevel="0" collapsed="false">
      <c r="A56" s="10"/>
      <c r="B56" s="7"/>
      <c r="C56" s="10"/>
    </row>
    <row r="57" customFormat="false" ht="15" hidden="false" customHeight="false" outlineLevel="0" collapsed="false">
      <c r="A57" s="10"/>
      <c r="B57" s="7"/>
      <c r="C57" s="10"/>
    </row>
    <row r="58" customFormat="false" ht="15" hidden="false" customHeight="false" outlineLevel="0" collapsed="false">
      <c r="A58" s="10"/>
      <c r="B58" s="7"/>
      <c r="C58" s="10"/>
    </row>
    <row r="59" customFormat="false" ht="15" hidden="false" customHeight="false" outlineLevel="0" collapsed="false">
      <c r="A59" s="10"/>
      <c r="B59" s="7"/>
      <c r="C59" s="10"/>
    </row>
    <row r="60" customFormat="false" ht="15" hidden="false" customHeight="false" outlineLevel="0" collapsed="false">
      <c r="A60" s="10"/>
      <c r="B60" s="7"/>
      <c r="C60" s="10"/>
    </row>
    <row r="61" customFormat="false" ht="15" hidden="false" customHeight="false" outlineLevel="0" collapsed="false">
      <c r="A61" s="10"/>
      <c r="B61" s="7"/>
      <c r="C61" s="10"/>
    </row>
    <row r="62" customFormat="false" ht="15" hidden="false" customHeight="false" outlineLevel="0" collapsed="false">
      <c r="A62" s="10"/>
      <c r="B62" s="7"/>
      <c r="C62" s="10"/>
    </row>
    <row r="63" customFormat="false" ht="15" hidden="false" customHeight="false" outlineLevel="0" collapsed="false">
      <c r="A63" s="10"/>
      <c r="B63" s="7"/>
      <c r="C63" s="10"/>
    </row>
    <row r="64" customFormat="false" ht="15" hidden="false" customHeight="false" outlineLevel="0" collapsed="false">
      <c r="A64" s="10"/>
      <c r="B64" s="7"/>
      <c r="C64" s="10"/>
    </row>
    <row r="65" customFormat="false" ht="15" hidden="false" customHeight="false" outlineLevel="0" collapsed="false">
      <c r="A65" s="10"/>
      <c r="B65" s="7"/>
      <c r="C65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J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4" min="3" style="0" width="10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26"/>
    <col collapsed="false" customWidth="true" hidden="false" outlineLevel="0" max="10" min="10" style="0" width="11"/>
  </cols>
  <sheetData>
    <row r="1" customFormat="false" ht="19.7" hidden="false" customHeight="false" outlineLevel="0" collapsed="false">
      <c r="A1" s="5" t="s">
        <v>54</v>
      </c>
    </row>
    <row r="2" customFormat="false" ht="15" hidden="false" customHeight="false" outlineLevel="0" collapsed="false">
      <c r="A2" s="8" t="s">
        <v>55</v>
      </c>
    </row>
    <row r="5" customFormat="false" ht="23.85" hidden="false" customHeight="false" outlineLevel="0" collapsed="false">
      <c r="A5" s="9" t="s">
        <v>51</v>
      </c>
      <c r="B5" s="9" t="s">
        <v>56</v>
      </c>
      <c r="C5" s="9" t="s">
        <v>44</v>
      </c>
      <c r="D5" s="9" t="s">
        <v>45</v>
      </c>
      <c r="E5" s="9" t="s">
        <v>42</v>
      </c>
      <c r="F5" s="16" t="s">
        <v>57</v>
      </c>
      <c r="G5" s="16" t="s">
        <v>58</v>
      </c>
      <c r="H5" s="16" t="s">
        <v>59</v>
      </c>
      <c r="I5" s="16" t="s">
        <v>60</v>
      </c>
      <c r="J5" s="16" t="s">
        <v>61</v>
      </c>
    </row>
    <row r="6" customFormat="false" ht="15" hidden="false" customHeight="false" outlineLevel="0" collapsed="false">
      <c r="A6" s="10" t="s">
        <v>23</v>
      </c>
      <c r="B6" s="10" t="s">
        <v>62</v>
      </c>
      <c r="C6" s="17" t="n">
        <v>1</v>
      </c>
      <c r="D6" s="10" t="s">
        <v>63</v>
      </c>
      <c r="E6" s="10" t="s">
        <v>64</v>
      </c>
      <c r="F6" s="18" t="n">
        <f aca="false">IF(A6="",0,COUNTIF(Week!$B$6:$E$12,A6))</f>
        <v>5</v>
      </c>
      <c r="G6" s="19" t="n">
        <f aca="false">IF(A6="",1,IFERROR(IF(N(INDEX(Meals!$B$6:$B$65,MATCH(A6,Meals!$A$6:$A$65,0)))&gt;0,Week!$B$3/INDEX(Meals!$B$6:$B$65,MATCH(A6,Meals!$A$6:$A$65,0)),1),1))</f>
        <v>2</v>
      </c>
      <c r="H6" s="19" t="n">
        <f aca="false">IF(OR(B6="",F6=0),0,N(C6)*F6*G6)</f>
        <v>10</v>
      </c>
      <c r="I6" s="20" t="str">
        <f aca="false">IF(B6="","",LOWER(TRIM(B6))&amp;" | "&amp;LOWER(TRIM(D6)))</f>
        <v>rolled oats | cup</v>
      </c>
      <c r="J6" s="18" t="n">
        <f aca="false">IF(H6&lt;=0,"",IF(COUNTIFS(I$5:I5,I6,H$5:H5,"&gt;0")=0,IFERROR(MATCH(E6,Lists!$A$2:$A$8,0),7)*10000+ROW(),""))</f>
        <v>50006</v>
      </c>
    </row>
    <row r="7" customFormat="false" ht="15" hidden="false" customHeight="false" outlineLevel="0" collapsed="false">
      <c r="A7" s="10" t="s">
        <v>23</v>
      </c>
      <c r="B7" s="10" t="s">
        <v>65</v>
      </c>
      <c r="C7" s="17" t="n">
        <v>1</v>
      </c>
      <c r="D7" s="10" t="s">
        <v>63</v>
      </c>
      <c r="E7" s="10" t="s">
        <v>66</v>
      </c>
      <c r="F7" s="18" t="n">
        <f aca="false">IF(A7="",0,COUNTIF(Week!$B$6:$E$12,A7))</f>
        <v>5</v>
      </c>
      <c r="G7" s="19" t="n">
        <f aca="false">IF(A7="",1,IFERROR(IF(N(INDEX(Meals!$B$6:$B$65,MATCH(A7,Meals!$A$6:$A$65,0)))&gt;0,Week!$B$3/INDEX(Meals!$B$6:$B$65,MATCH(A7,Meals!$A$6:$A$65,0)),1),1))</f>
        <v>2</v>
      </c>
      <c r="H7" s="19" t="n">
        <f aca="false">IF(OR(B7="",F7=0),0,N(C7)*F7*G7)</f>
        <v>10</v>
      </c>
      <c r="I7" s="20" t="str">
        <f aca="false">IF(B7="","",LOWER(TRIM(B7))&amp;" | "&amp;LOWER(TRIM(D7)))</f>
        <v>milk | cup</v>
      </c>
      <c r="J7" s="18" t="n">
        <f aca="false">IF(H7&lt;=0,"",IF(COUNTIFS(I$5:I6,I7,H$5:H6,"&gt;0")=0,IFERROR(MATCH(E7,Lists!$A$2:$A$8,0),7)*10000+ROW(),""))</f>
        <v>30007</v>
      </c>
    </row>
    <row r="8" customFormat="false" ht="15" hidden="false" customHeight="false" outlineLevel="0" collapsed="false">
      <c r="A8" s="10" t="s">
        <v>23</v>
      </c>
      <c r="B8" s="10" t="s">
        <v>67</v>
      </c>
      <c r="C8" s="17" t="n">
        <v>1</v>
      </c>
      <c r="D8" s="10" t="s">
        <v>68</v>
      </c>
      <c r="E8" s="10" t="s">
        <v>69</v>
      </c>
      <c r="F8" s="18" t="n">
        <f aca="false">IF(A8="",0,COUNTIF(Week!$B$6:$E$12,A8))</f>
        <v>5</v>
      </c>
      <c r="G8" s="19" t="n">
        <f aca="false">IF(A8="",1,IFERROR(IF(N(INDEX(Meals!$B$6:$B$65,MATCH(A8,Meals!$A$6:$A$65,0)))&gt;0,Week!$B$3/INDEX(Meals!$B$6:$B$65,MATCH(A8,Meals!$A$6:$A$65,0)),1),1))</f>
        <v>2</v>
      </c>
      <c r="H8" s="19" t="n">
        <f aca="false">IF(OR(B8="",F8=0),0,N(C8)*F8*G8)</f>
        <v>10</v>
      </c>
      <c r="I8" s="20" t="str">
        <f aca="false">IF(B8="","",LOWER(TRIM(B8))&amp;" | "&amp;LOWER(TRIM(D8)))</f>
        <v>banana | each</v>
      </c>
      <c r="J8" s="18" t="n">
        <f aca="false">IF(H8&lt;=0,"",IF(COUNTIFS(I$5:I7,I8,H$5:H7,"&gt;0")=0,IFERROR(MATCH(E8,Lists!$A$2:$A$8,0),7)*10000+ROW(),""))</f>
        <v>10008</v>
      </c>
    </row>
    <row r="9" customFormat="false" ht="15" hidden="false" customHeight="false" outlineLevel="0" collapsed="false">
      <c r="A9" s="10" t="s">
        <v>23</v>
      </c>
      <c r="B9" s="10" t="s">
        <v>70</v>
      </c>
      <c r="C9" s="17" t="n">
        <v>1</v>
      </c>
      <c r="D9" s="10" t="s">
        <v>71</v>
      </c>
      <c r="E9" s="10" t="s">
        <v>64</v>
      </c>
      <c r="F9" s="18" t="n">
        <f aca="false">IF(A9="",0,COUNTIF(Week!$B$6:$E$12,A9))</f>
        <v>5</v>
      </c>
      <c r="G9" s="19" t="n">
        <f aca="false">IF(A9="",1,IFERROR(IF(N(INDEX(Meals!$B$6:$B$65,MATCH(A9,Meals!$A$6:$A$65,0)))&gt;0,Week!$B$3/INDEX(Meals!$B$6:$B$65,MATCH(A9,Meals!$A$6:$A$65,0)),1),1))</f>
        <v>2</v>
      </c>
      <c r="H9" s="19" t="n">
        <f aca="false">IF(OR(B9="",F9=0),0,N(C9)*F9*G9)</f>
        <v>10</v>
      </c>
      <c r="I9" s="20" t="str">
        <f aca="false">IF(B9="","",LOWER(TRIM(B9))&amp;" | "&amp;LOWER(TRIM(D9)))</f>
        <v>honey | tbsp</v>
      </c>
      <c r="J9" s="18" t="n">
        <f aca="false">IF(H9&lt;=0,"",IF(COUNTIFS(I$5:I8,I9,H$5:H8,"&gt;0")=0,IFERROR(MATCH(E9,Lists!$A$2:$A$8,0),7)*10000+ROW(),""))</f>
        <v>50009</v>
      </c>
    </row>
    <row r="10" customFormat="false" ht="15" hidden="false" customHeight="false" outlineLevel="0" collapsed="false">
      <c r="A10" s="10" t="s">
        <v>24</v>
      </c>
      <c r="B10" s="10" t="s">
        <v>72</v>
      </c>
      <c r="C10" s="17" t="n">
        <v>2</v>
      </c>
      <c r="D10" s="10" t="s">
        <v>68</v>
      </c>
      <c r="E10" s="10" t="s">
        <v>73</v>
      </c>
      <c r="F10" s="18" t="n">
        <f aca="false">IF(A10="",0,COUNTIF(Week!$B$6:$E$12,A10))</f>
        <v>4</v>
      </c>
      <c r="G10" s="19" t="n">
        <f aca="false">IF(A10="",1,IFERROR(IF(N(INDEX(Meals!$B$6:$B$65,MATCH(A10,Meals!$A$6:$A$65,0)))&gt;0,Week!$B$3/INDEX(Meals!$B$6:$B$65,MATCH(A10,Meals!$A$6:$A$65,0)),1),1))</f>
        <v>2</v>
      </c>
      <c r="H10" s="19" t="n">
        <f aca="false">IF(OR(B10="",F10=0),0,N(C10)*F10*G10)</f>
        <v>16</v>
      </c>
      <c r="I10" s="20" t="str">
        <f aca="false">IF(B10="","",LOWER(TRIM(B10))&amp;" | "&amp;LOWER(TRIM(D10)))</f>
        <v>tortillas | each</v>
      </c>
      <c r="J10" s="18" t="n">
        <f aca="false">IF(H10&lt;=0,"",IF(COUNTIFS(I$5:I9,I10,H$5:H9,"&gt;0")=0,IFERROR(MATCH(E10,Lists!$A$2:$A$8,0),7)*10000+ROW(),""))</f>
        <v>40010</v>
      </c>
    </row>
    <row r="11" customFormat="false" ht="15" hidden="false" customHeight="false" outlineLevel="0" collapsed="false">
      <c r="A11" s="10" t="s">
        <v>24</v>
      </c>
      <c r="B11" s="10" t="s">
        <v>74</v>
      </c>
      <c r="C11" s="17" t="n">
        <v>6</v>
      </c>
      <c r="D11" s="10" t="s">
        <v>75</v>
      </c>
      <c r="E11" s="10" t="s">
        <v>76</v>
      </c>
      <c r="F11" s="18" t="n">
        <f aca="false">IF(A11="",0,COUNTIF(Week!$B$6:$E$12,A11))</f>
        <v>4</v>
      </c>
      <c r="G11" s="19" t="n">
        <f aca="false">IF(A11="",1,IFERROR(IF(N(INDEX(Meals!$B$6:$B$65,MATCH(A11,Meals!$A$6:$A$65,0)))&gt;0,Week!$B$3/INDEX(Meals!$B$6:$B$65,MATCH(A11,Meals!$A$6:$A$65,0)),1),1))</f>
        <v>2</v>
      </c>
      <c r="H11" s="19" t="n">
        <f aca="false">IF(OR(B11="",F11=0),0,N(C11)*F11*G11)</f>
        <v>48</v>
      </c>
      <c r="I11" s="20" t="str">
        <f aca="false">IF(B11="","",LOWER(TRIM(B11))&amp;" | "&amp;LOWER(TRIM(D11)))</f>
        <v>sliced turkey | oz</v>
      </c>
      <c r="J11" s="18" t="n">
        <f aca="false">IF(H11&lt;=0,"",IF(COUNTIFS(I$5:I10,I11,H$5:H10,"&gt;0")=0,IFERROR(MATCH(E11,Lists!$A$2:$A$8,0),7)*10000+ROW(),""))</f>
        <v>20011</v>
      </c>
    </row>
    <row r="12" customFormat="false" ht="15" hidden="false" customHeight="false" outlineLevel="0" collapsed="false">
      <c r="A12" s="10" t="s">
        <v>24</v>
      </c>
      <c r="B12" s="10" t="s">
        <v>77</v>
      </c>
      <c r="C12" s="17" t="n">
        <v>2</v>
      </c>
      <c r="D12" s="10" t="s">
        <v>75</v>
      </c>
      <c r="E12" s="10" t="s">
        <v>66</v>
      </c>
      <c r="F12" s="18" t="n">
        <f aca="false">IF(A12="",0,COUNTIF(Week!$B$6:$E$12,A12))</f>
        <v>4</v>
      </c>
      <c r="G12" s="19" t="n">
        <f aca="false">IF(A12="",1,IFERROR(IF(N(INDEX(Meals!$B$6:$B$65,MATCH(A12,Meals!$A$6:$A$65,0)))&gt;0,Week!$B$3/INDEX(Meals!$B$6:$B$65,MATCH(A12,Meals!$A$6:$A$65,0)),1),1))</f>
        <v>2</v>
      </c>
      <c r="H12" s="19" t="n">
        <f aca="false">IF(OR(B12="",F12=0),0,N(C12)*F12*G12)</f>
        <v>16</v>
      </c>
      <c r="I12" s="20" t="str">
        <f aca="false">IF(B12="","",LOWER(TRIM(B12))&amp;" | "&amp;LOWER(TRIM(D12)))</f>
        <v>cheddar cheese | oz</v>
      </c>
      <c r="J12" s="18" t="n">
        <f aca="false">IF(H12&lt;=0,"",IF(COUNTIFS(I$5:I11,I12,H$5:H11,"&gt;0")=0,IFERROR(MATCH(E12,Lists!$A$2:$A$8,0),7)*10000+ROW(),""))</f>
        <v>30012</v>
      </c>
    </row>
    <row r="13" customFormat="false" ht="15" hidden="false" customHeight="false" outlineLevel="0" collapsed="false">
      <c r="A13" s="10" t="s">
        <v>24</v>
      </c>
      <c r="B13" s="10" t="s">
        <v>78</v>
      </c>
      <c r="C13" s="17" t="n">
        <v>0.5</v>
      </c>
      <c r="D13" s="10" t="s">
        <v>79</v>
      </c>
      <c r="E13" s="10" t="s">
        <v>69</v>
      </c>
      <c r="F13" s="18" t="n">
        <f aca="false">IF(A13="",0,COUNTIF(Week!$B$6:$E$12,A13))</f>
        <v>4</v>
      </c>
      <c r="G13" s="19" t="n">
        <f aca="false">IF(A13="",1,IFERROR(IF(N(INDEX(Meals!$B$6:$B$65,MATCH(A13,Meals!$A$6:$A$65,0)))&gt;0,Week!$B$3/INDEX(Meals!$B$6:$B$65,MATCH(A13,Meals!$A$6:$A$65,0)),1),1))</f>
        <v>2</v>
      </c>
      <c r="H13" s="19" t="n">
        <f aca="false">IF(OR(B13="",F13=0),0,N(C13)*F13*G13)</f>
        <v>4</v>
      </c>
      <c r="I13" s="20" t="str">
        <f aca="false">IF(B13="","",LOWER(TRIM(B13))&amp;" | "&amp;LOWER(TRIM(D13)))</f>
        <v>lettuce | head</v>
      </c>
      <c r="J13" s="18" t="n">
        <f aca="false">IF(H13&lt;=0,"",IF(COUNTIFS(I$5:I12,I13,H$5:H12,"&gt;0")=0,IFERROR(MATCH(E13,Lists!$A$2:$A$8,0),7)*10000+ROW(),""))</f>
        <v>10013</v>
      </c>
    </row>
    <row r="14" customFormat="false" ht="15" hidden="false" customHeight="false" outlineLevel="0" collapsed="false">
      <c r="A14" s="10" t="s">
        <v>25</v>
      </c>
      <c r="B14" s="10" t="s">
        <v>80</v>
      </c>
      <c r="C14" s="17" t="n">
        <v>1.5</v>
      </c>
      <c r="D14" s="10" t="s">
        <v>81</v>
      </c>
      <c r="E14" s="10" t="s">
        <v>76</v>
      </c>
      <c r="F14" s="18" t="n">
        <f aca="false">IF(A14="",0,COUNTIF(Week!$B$6:$E$12,A14))</f>
        <v>2</v>
      </c>
      <c r="G14" s="19" t="n">
        <f aca="false">IF(A14="",1,IFERROR(IF(N(INDEX(Meals!$B$6:$B$65,MATCH(A14,Meals!$A$6:$A$65,0)))&gt;0,Week!$B$3/INDEX(Meals!$B$6:$B$65,MATCH(A14,Meals!$A$6:$A$65,0)),1),1))</f>
        <v>1</v>
      </c>
      <c r="H14" s="19" t="n">
        <f aca="false">IF(OR(B14="",F14=0),0,N(C14)*F14*G14)</f>
        <v>3</v>
      </c>
      <c r="I14" s="20" t="str">
        <f aca="false">IF(B14="","",LOWER(TRIM(B14))&amp;" | "&amp;LOWER(TRIM(D14)))</f>
        <v>chicken breast | lb</v>
      </c>
      <c r="J14" s="18" t="n">
        <f aca="false">IF(H14&lt;=0,"",IF(COUNTIFS(I$5:I13,I14,H$5:H13,"&gt;0")=0,IFERROR(MATCH(E14,Lists!$A$2:$A$8,0),7)*10000+ROW(),""))</f>
        <v>20014</v>
      </c>
    </row>
    <row r="15" customFormat="false" ht="15" hidden="false" customHeight="false" outlineLevel="0" collapsed="false">
      <c r="A15" s="10" t="s">
        <v>25</v>
      </c>
      <c r="B15" s="10" t="s">
        <v>82</v>
      </c>
      <c r="C15" s="17" t="n">
        <v>3</v>
      </c>
      <c r="D15" s="10" t="s">
        <v>68</v>
      </c>
      <c r="E15" s="10" t="s">
        <v>69</v>
      </c>
      <c r="F15" s="18" t="n">
        <f aca="false">IF(A15="",0,COUNTIF(Week!$B$6:$E$12,A15))</f>
        <v>2</v>
      </c>
      <c r="G15" s="19" t="n">
        <f aca="false">IF(A15="",1,IFERROR(IF(N(INDEX(Meals!$B$6:$B$65,MATCH(A15,Meals!$A$6:$A$65,0)))&gt;0,Week!$B$3/INDEX(Meals!$B$6:$B$65,MATCH(A15,Meals!$A$6:$A$65,0)),1),1))</f>
        <v>1</v>
      </c>
      <c r="H15" s="19" t="n">
        <f aca="false">IF(OR(B15="",F15=0),0,N(C15)*F15*G15)</f>
        <v>6</v>
      </c>
      <c r="I15" s="20" t="str">
        <f aca="false">IF(B15="","",LOWER(TRIM(B15))&amp;" | "&amp;LOWER(TRIM(D15)))</f>
        <v>bell peppers | each</v>
      </c>
      <c r="J15" s="18" t="n">
        <f aca="false">IF(H15&lt;=0,"",IF(COUNTIFS(I$5:I14,I15,H$5:H14,"&gt;0")=0,IFERROR(MATCH(E15,Lists!$A$2:$A$8,0),7)*10000+ROW(),""))</f>
        <v>10015</v>
      </c>
    </row>
    <row r="16" customFormat="false" ht="15" hidden="false" customHeight="false" outlineLevel="0" collapsed="false">
      <c r="A16" s="10" t="s">
        <v>25</v>
      </c>
      <c r="B16" s="10" t="s">
        <v>83</v>
      </c>
      <c r="C16" s="17" t="n">
        <v>1</v>
      </c>
      <c r="D16" s="10" t="s">
        <v>68</v>
      </c>
      <c r="E16" s="10" t="s">
        <v>69</v>
      </c>
      <c r="F16" s="18" t="n">
        <f aca="false">IF(A16="",0,COUNTIF(Week!$B$6:$E$12,A16))</f>
        <v>2</v>
      </c>
      <c r="G16" s="19" t="n">
        <f aca="false">IF(A16="",1,IFERROR(IF(N(INDEX(Meals!$B$6:$B$65,MATCH(A16,Meals!$A$6:$A$65,0)))&gt;0,Week!$B$3/INDEX(Meals!$B$6:$B$65,MATCH(A16,Meals!$A$6:$A$65,0)),1),1))</f>
        <v>1</v>
      </c>
      <c r="H16" s="19" t="n">
        <f aca="false">IF(OR(B16="",F16=0),0,N(C16)*F16*G16)</f>
        <v>2</v>
      </c>
      <c r="I16" s="20" t="str">
        <f aca="false">IF(B16="","",LOWER(TRIM(B16))&amp;" | "&amp;LOWER(TRIM(D16)))</f>
        <v>onion | each</v>
      </c>
      <c r="J16" s="18" t="n">
        <f aca="false">IF(H16&lt;=0,"",IF(COUNTIFS(I$5:I15,I16,H$5:H15,"&gt;0")=0,IFERROR(MATCH(E16,Lists!$A$2:$A$8,0),7)*10000+ROW(),""))</f>
        <v>10016</v>
      </c>
    </row>
    <row r="17" customFormat="false" ht="15" hidden="false" customHeight="false" outlineLevel="0" collapsed="false">
      <c r="A17" s="10" t="s">
        <v>25</v>
      </c>
      <c r="B17" s="10" t="s">
        <v>72</v>
      </c>
      <c r="C17" s="17" t="n">
        <v>8</v>
      </c>
      <c r="D17" s="10" t="s">
        <v>68</v>
      </c>
      <c r="E17" s="10" t="s">
        <v>73</v>
      </c>
      <c r="F17" s="18" t="n">
        <f aca="false">IF(A17="",0,COUNTIF(Week!$B$6:$E$12,A17))</f>
        <v>2</v>
      </c>
      <c r="G17" s="19" t="n">
        <f aca="false">IF(A17="",1,IFERROR(IF(N(INDEX(Meals!$B$6:$B$65,MATCH(A17,Meals!$A$6:$A$65,0)))&gt;0,Week!$B$3/INDEX(Meals!$B$6:$B$65,MATCH(A17,Meals!$A$6:$A$65,0)),1),1))</f>
        <v>1</v>
      </c>
      <c r="H17" s="19" t="n">
        <f aca="false">IF(OR(B17="",F17=0),0,N(C17)*F17*G17)</f>
        <v>16</v>
      </c>
      <c r="I17" s="20" t="str">
        <f aca="false">IF(B17="","",LOWER(TRIM(B17))&amp;" | "&amp;LOWER(TRIM(D17)))</f>
        <v>tortillas | each</v>
      </c>
      <c r="J17" s="18" t="str">
        <f aca="false">IF(H17&lt;=0,"",IF(COUNTIFS(I$5:I16,I17,H$5:H16,"&gt;0")=0,IFERROR(MATCH(E17,Lists!$A$2:$A$8,0),7)*10000+ROW(),""))</f>
        <v/>
      </c>
    </row>
    <row r="18" customFormat="false" ht="15" hidden="false" customHeight="false" outlineLevel="0" collapsed="false">
      <c r="A18" s="10" t="s">
        <v>25</v>
      </c>
      <c r="B18" s="10" t="s">
        <v>84</v>
      </c>
      <c r="C18" s="17" t="n">
        <v>0.5</v>
      </c>
      <c r="D18" s="10" t="s">
        <v>63</v>
      </c>
      <c r="E18" s="10" t="s">
        <v>66</v>
      </c>
      <c r="F18" s="18" t="n">
        <f aca="false">IF(A18="",0,COUNTIF(Week!$B$6:$E$12,A18))</f>
        <v>2</v>
      </c>
      <c r="G18" s="19" t="n">
        <f aca="false">IF(A18="",1,IFERROR(IF(N(INDEX(Meals!$B$6:$B$65,MATCH(A18,Meals!$A$6:$A$65,0)))&gt;0,Week!$B$3/INDEX(Meals!$B$6:$B$65,MATCH(A18,Meals!$A$6:$A$65,0)),1),1))</f>
        <v>1</v>
      </c>
      <c r="H18" s="19" t="n">
        <f aca="false">IF(OR(B18="",F18=0),0,N(C18)*F18*G18)</f>
        <v>1</v>
      </c>
      <c r="I18" s="20" t="str">
        <f aca="false">IF(B18="","",LOWER(TRIM(B18))&amp;" | "&amp;LOWER(TRIM(D18)))</f>
        <v>sour cream | cup</v>
      </c>
      <c r="J18" s="18" t="n">
        <f aca="false">IF(H18&lt;=0,"",IF(COUNTIFS(I$5:I17,I18,H$5:H17,"&gt;0")=0,IFERROR(MATCH(E18,Lists!$A$2:$A$8,0),7)*10000+ROW(),""))</f>
        <v>30018</v>
      </c>
    </row>
    <row r="19" customFormat="false" ht="15" hidden="false" customHeight="false" outlineLevel="0" collapsed="false">
      <c r="A19" s="10" t="s">
        <v>28</v>
      </c>
      <c r="B19" s="10" t="s">
        <v>85</v>
      </c>
      <c r="C19" s="17" t="n">
        <v>1</v>
      </c>
      <c r="D19" s="10" t="s">
        <v>81</v>
      </c>
      <c r="E19" s="10" t="s">
        <v>64</v>
      </c>
      <c r="F19" s="18" t="n">
        <f aca="false">IF(A19="",0,COUNTIF(Week!$B$6:$E$12,A19))</f>
        <v>2</v>
      </c>
      <c r="G19" s="19" t="n">
        <f aca="false">IF(A19="",1,IFERROR(IF(N(INDEX(Meals!$B$6:$B$65,MATCH(A19,Meals!$A$6:$A$65,0)))&gt;0,Week!$B$3/INDEX(Meals!$B$6:$B$65,MATCH(A19,Meals!$A$6:$A$65,0)),1),1))</f>
        <v>1</v>
      </c>
      <c r="H19" s="19" t="n">
        <f aca="false">IF(OR(B19="",F19=0),0,N(C19)*F19*G19)</f>
        <v>2</v>
      </c>
      <c r="I19" s="20" t="str">
        <f aca="false">IF(B19="","",LOWER(TRIM(B19))&amp;" | "&amp;LOWER(TRIM(D19)))</f>
        <v>spaghetti | lb</v>
      </c>
      <c r="J19" s="18" t="n">
        <f aca="false">IF(H19&lt;=0,"",IF(COUNTIFS(I$5:I18,I19,H$5:H18,"&gt;0")=0,IFERROR(MATCH(E19,Lists!$A$2:$A$8,0),7)*10000+ROW(),""))</f>
        <v>50019</v>
      </c>
    </row>
    <row r="20" customFormat="false" ht="15" hidden="false" customHeight="false" outlineLevel="0" collapsed="false">
      <c r="A20" s="10" t="s">
        <v>28</v>
      </c>
      <c r="B20" s="10" t="s">
        <v>86</v>
      </c>
      <c r="C20" s="17" t="n">
        <v>1</v>
      </c>
      <c r="D20" s="10" t="s">
        <v>81</v>
      </c>
      <c r="E20" s="10" t="s">
        <v>76</v>
      </c>
      <c r="F20" s="18" t="n">
        <f aca="false">IF(A20="",0,COUNTIF(Week!$B$6:$E$12,A20))</f>
        <v>2</v>
      </c>
      <c r="G20" s="19" t="n">
        <f aca="false">IF(A20="",1,IFERROR(IF(N(INDEX(Meals!$B$6:$B$65,MATCH(A20,Meals!$A$6:$A$65,0)))&gt;0,Week!$B$3/INDEX(Meals!$B$6:$B$65,MATCH(A20,Meals!$A$6:$A$65,0)),1),1))</f>
        <v>1</v>
      </c>
      <c r="H20" s="19" t="n">
        <f aca="false">IF(OR(B20="",F20=0),0,N(C20)*F20*G20)</f>
        <v>2</v>
      </c>
      <c r="I20" s="20" t="str">
        <f aca="false">IF(B20="","",LOWER(TRIM(B20))&amp;" | "&amp;LOWER(TRIM(D20)))</f>
        <v>ground beef | lb</v>
      </c>
      <c r="J20" s="18" t="n">
        <f aca="false">IF(H20&lt;=0,"",IF(COUNTIFS(I$5:I19,I20,H$5:H19,"&gt;0")=0,IFERROR(MATCH(E20,Lists!$A$2:$A$8,0),7)*10000+ROW(),""))</f>
        <v>20020</v>
      </c>
    </row>
    <row r="21" customFormat="false" ht="15" hidden="false" customHeight="false" outlineLevel="0" collapsed="false">
      <c r="A21" s="10" t="s">
        <v>28</v>
      </c>
      <c r="B21" s="10" t="s">
        <v>87</v>
      </c>
      <c r="C21" s="17" t="n">
        <v>1</v>
      </c>
      <c r="D21" s="10" t="s">
        <v>88</v>
      </c>
      <c r="E21" s="10" t="s">
        <v>64</v>
      </c>
      <c r="F21" s="18" t="n">
        <f aca="false">IF(A21="",0,COUNTIF(Week!$B$6:$E$12,A21))</f>
        <v>2</v>
      </c>
      <c r="G21" s="19" t="n">
        <f aca="false">IF(A21="",1,IFERROR(IF(N(INDEX(Meals!$B$6:$B$65,MATCH(A21,Meals!$A$6:$A$65,0)))&gt;0,Week!$B$3/INDEX(Meals!$B$6:$B$65,MATCH(A21,Meals!$A$6:$A$65,0)),1),1))</f>
        <v>1</v>
      </c>
      <c r="H21" s="19" t="n">
        <f aca="false">IF(OR(B21="",F21=0),0,N(C21)*F21*G21)</f>
        <v>2</v>
      </c>
      <c r="I21" s="20" t="str">
        <f aca="false">IF(B21="","",LOWER(TRIM(B21))&amp;" | "&amp;LOWER(TRIM(D21)))</f>
        <v>crushed tomatoes | can</v>
      </c>
      <c r="J21" s="18" t="n">
        <f aca="false">IF(H21&lt;=0,"",IF(COUNTIFS(I$5:I20,I21,H$5:H20,"&gt;0")=0,IFERROR(MATCH(E21,Lists!$A$2:$A$8,0),7)*10000+ROW(),""))</f>
        <v>50021</v>
      </c>
    </row>
    <row r="22" customFormat="false" ht="15" hidden="false" customHeight="false" outlineLevel="0" collapsed="false">
      <c r="A22" s="10" t="s">
        <v>28</v>
      </c>
      <c r="B22" s="10" t="s">
        <v>83</v>
      </c>
      <c r="C22" s="17" t="n">
        <v>1</v>
      </c>
      <c r="D22" s="10" t="s">
        <v>68</v>
      </c>
      <c r="E22" s="10" t="s">
        <v>69</v>
      </c>
      <c r="F22" s="18" t="n">
        <f aca="false">IF(A22="",0,COUNTIF(Week!$B$6:$E$12,A22))</f>
        <v>2</v>
      </c>
      <c r="G22" s="19" t="n">
        <f aca="false">IF(A22="",1,IFERROR(IF(N(INDEX(Meals!$B$6:$B$65,MATCH(A22,Meals!$A$6:$A$65,0)))&gt;0,Week!$B$3/INDEX(Meals!$B$6:$B$65,MATCH(A22,Meals!$A$6:$A$65,0)),1),1))</f>
        <v>1</v>
      </c>
      <c r="H22" s="19" t="n">
        <f aca="false">IF(OR(B22="",F22=0),0,N(C22)*F22*G22)</f>
        <v>2</v>
      </c>
      <c r="I22" s="20" t="str">
        <f aca="false">IF(B22="","",LOWER(TRIM(B22))&amp;" | "&amp;LOWER(TRIM(D22)))</f>
        <v>onion | each</v>
      </c>
      <c r="J22" s="18" t="str">
        <f aca="false">IF(H22&lt;=0,"",IF(COUNTIFS(I$5:I21,I22,H$5:H21,"&gt;0")=0,IFERROR(MATCH(E22,Lists!$A$2:$A$8,0),7)*10000+ROW(),""))</f>
        <v/>
      </c>
    </row>
    <row r="23" customFormat="false" ht="15" hidden="false" customHeight="false" outlineLevel="0" collapsed="false">
      <c r="A23" s="10" t="s">
        <v>28</v>
      </c>
      <c r="B23" s="10" t="s">
        <v>89</v>
      </c>
      <c r="C23" s="17" t="n">
        <v>3</v>
      </c>
      <c r="D23" s="10" t="s">
        <v>90</v>
      </c>
      <c r="E23" s="10" t="s">
        <v>69</v>
      </c>
      <c r="F23" s="18" t="n">
        <f aca="false">IF(A23="",0,COUNTIF(Week!$B$6:$E$12,A23))</f>
        <v>2</v>
      </c>
      <c r="G23" s="19" t="n">
        <f aca="false">IF(A23="",1,IFERROR(IF(N(INDEX(Meals!$B$6:$B$65,MATCH(A23,Meals!$A$6:$A$65,0)))&gt;0,Week!$B$3/INDEX(Meals!$B$6:$B$65,MATCH(A23,Meals!$A$6:$A$65,0)),1),1))</f>
        <v>1</v>
      </c>
      <c r="H23" s="19" t="n">
        <f aca="false">IF(OR(B23="",F23=0),0,N(C23)*F23*G23)</f>
        <v>6</v>
      </c>
      <c r="I23" s="20" t="str">
        <f aca="false">IF(B23="","",LOWER(TRIM(B23))&amp;" | "&amp;LOWER(TRIM(D23)))</f>
        <v>garlic | clove</v>
      </c>
      <c r="J23" s="18" t="n">
        <f aca="false">IF(H23&lt;=0,"",IF(COUNTIFS(I$5:I22,I23,H$5:H22,"&gt;0")=0,IFERROR(MATCH(E23,Lists!$A$2:$A$8,0),7)*10000+ROW(),""))</f>
        <v>10023</v>
      </c>
    </row>
    <row r="24" customFormat="false" ht="15" hidden="false" customHeight="false" outlineLevel="0" collapsed="false">
      <c r="A24" s="10" t="s">
        <v>31</v>
      </c>
      <c r="B24" s="10" t="s">
        <v>91</v>
      </c>
      <c r="C24" s="17" t="n">
        <v>2</v>
      </c>
      <c r="D24" s="10" t="s">
        <v>88</v>
      </c>
      <c r="E24" s="10" t="s">
        <v>64</v>
      </c>
      <c r="F24" s="18" t="n">
        <f aca="false">IF(A24="",0,COUNTIF(Week!$B$6:$E$12,A24))</f>
        <v>1</v>
      </c>
      <c r="G24" s="19" t="n">
        <f aca="false">IF(A24="",1,IFERROR(IF(N(INDEX(Meals!$B$6:$B$65,MATCH(A24,Meals!$A$6:$A$65,0)))&gt;0,Week!$B$3/INDEX(Meals!$B$6:$B$65,MATCH(A24,Meals!$A$6:$A$65,0)),1),1))</f>
        <v>1</v>
      </c>
      <c r="H24" s="19" t="n">
        <f aca="false">IF(OR(B24="",F24=0),0,N(C24)*F24*G24)</f>
        <v>2</v>
      </c>
      <c r="I24" s="20" t="str">
        <f aca="false">IF(B24="","",LOWER(TRIM(B24))&amp;" | "&amp;LOWER(TRIM(D24)))</f>
        <v>black beans | can</v>
      </c>
      <c r="J24" s="18" t="n">
        <f aca="false">IF(H24&lt;=0,"",IF(COUNTIFS(I$5:I23,I24,H$5:H23,"&gt;0")=0,IFERROR(MATCH(E24,Lists!$A$2:$A$8,0),7)*10000+ROW(),""))</f>
        <v>50024</v>
      </c>
    </row>
    <row r="25" customFormat="false" ht="15" hidden="false" customHeight="false" outlineLevel="0" collapsed="false">
      <c r="A25" s="10" t="s">
        <v>31</v>
      </c>
      <c r="B25" s="10" t="s">
        <v>72</v>
      </c>
      <c r="C25" s="17" t="n">
        <v>8</v>
      </c>
      <c r="D25" s="10" t="s">
        <v>68</v>
      </c>
      <c r="E25" s="10" t="s">
        <v>73</v>
      </c>
      <c r="F25" s="18" t="n">
        <f aca="false">IF(A25="",0,COUNTIF(Week!$B$6:$E$12,A25))</f>
        <v>1</v>
      </c>
      <c r="G25" s="19" t="n">
        <f aca="false">IF(A25="",1,IFERROR(IF(N(INDEX(Meals!$B$6:$B$65,MATCH(A25,Meals!$A$6:$A$65,0)))&gt;0,Week!$B$3/INDEX(Meals!$B$6:$B$65,MATCH(A25,Meals!$A$6:$A$65,0)),1),1))</f>
        <v>1</v>
      </c>
      <c r="H25" s="19" t="n">
        <f aca="false">IF(OR(B25="",F25=0),0,N(C25)*F25*G25)</f>
        <v>8</v>
      </c>
      <c r="I25" s="20" t="str">
        <f aca="false">IF(B25="","",LOWER(TRIM(B25))&amp;" | "&amp;LOWER(TRIM(D25)))</f>
        <v>tortillas | each</v>
      </c>
      <c r="J25" s="18" t="str">
        <f aca="false">IF(H25&lt;=0,"",IF(COUNTIFS(I$5:I24,I25,H$5:H24,"&gt;0")=0,IFERROR(MATCH(E25,Lists!$A$2:$A$8,0),7)*10000+ROW(),""))</f>
        <v/>
      </c>
    </row>
    <row r="26" customFormat="false" ht="15" hidden="false" customHeight="false" outlineLevel="0" collapsed="false">
      <c r="A26" s="10" t="s">
        <v>31</v>
      </c>
      <c r="B26" s="10" t="s">
        <v>92</v>
      </c>
      <c r="C26" s="17" t="n">
        <v>2</v>
      </c>
      <c r="D26" s="10" t="s">
        <v>68</v>
      </c>
      <c r="E26" s="10" t="s">
        <v>69</v>
      </c>
      <c r="F26" s="18" t="n">
        <f aca="false">IF(A26="",0,COUNTIF(Week!$B$6:$E$12,A26))</f>
        <v>1</v>
      </c>
      <c r="G26" s="19" t="n">
        <f aca="false">IF(A26="",1,IFERROR(IF(N(INDEX(Meals!$B$6:$B$65,MATCH(A26,Meals!$A$6:$A$65,0)))&gt;0,Week!$B$3/INDEX(Meals!$B$6:$B$65,MATCH(A26,Meals!$A$6:$A$65,0)),1),1))</f>
        <v>1</v>
      </c>
      <c r="H26" s="19" t="n">
        <f aca="false">IF(OR(B26="",F26=0),0,N(C26)*F26*G26)</f>
        <v>2</v>
      </c>
      <c r="I26" s="20" t="str">
        <f aca="false">IF(B26="","",LOWER(TRIM(B26))&amp;" | "&amp;LOWER(TRIM(D26)))</f>
        <v>avocado | each</v>
      </c>
      <c r="J26" s="18" t="n">
        <f aca="false">IF(H26&lt;=0,"",IF(COUNTIFS(I$5:I25,I26,H$5:H25,"&gt;0")=0,IFERROR(MATCH(E26,Lists!$A$2:$A$8,0),7)*10000+ROW(),""))</f>
        <v>10026</v>
      </c>
    </row>
    <row r="27" customFormat="false" ht="15" hidden="false" customHeight="false" outlineLevel="0" collapsed="false">
      <c r="A27" s="10" t="s">
        <v>31</v>
      </c>
      <c r="B27" s="10" t="s">
        <v>77</v>
      </c>
      <c r="C27" s="17" t="n">
        <v>4</v>
      </c>
      <c r="D27" s="10" t="s">
        <v>75</v>
      </c>
      <c r="E27" s="10" t="s">
        <v>66</v>
      </c>
      <c r="F27" s="18" t="n">
        <f aca="false">IF(A27="",0,COUNTIF(Week!$B$6:$E$12,A27))</f>
        <v>1</v>
      </c>
      <c r="G27" s="19" t="n">
        <f aca="false">IF(A27="",1,IFERROR(IF(N(INDEX(Meals!$B$6:$B$65,MATCH(A27,Meals!$A$6:$A$65,0)))&gt;0,Week!$B$3/INDEX(Meals!$B$6:$B$65,MATCH(A27,Meals!$A$6:$A$65,0)),1),1))</f>
        <v>1</v>
      </c>
      <c r="H27" s="19" t="n">
        <f aca="false">IF(OR(B27="",F27=0),0,N(C27)*F27*G27)</f>
        <v>4</v>
      </c>
      <c r="I27" s="20" t="str">
        <f aca="false">IF(B27="","",LOWER(TRIM(B27))&amp;" | "&amp;LOWER(TRIM(D27)))</f>
        <v>cheddar cheese | oz</v>
      </c>
      <c r="J27" s="18" t="str">
        <f aca="false">IF(H27&lt;=0,"",IF(COUNTIFS(I$5:I26,I27,H$5:H26,"&gt;0")=0,IFERROR(MATCH(E27,Lists!$A$2:$A$8,0),7)*10000+ROW(),""))</f>
        <v/>
      </c>
    </row>
    <row r="28" customFormat="false" ht="15" hidden="false" customHeight="false" outlineLevel="0" collapsed="false">
      <c r="A28" s="10" t="s">
        <v>31</v>
      </c>
      <c r="B28" s="10" t="s">
        <v>93</v>
      </c>
      <c r="C28" s="17" t="n">
        <v>1</v>
      </c>
      <c r="D28" s="10" t="s">
        <v>68</v>
      </c>
      <c r="E28" s="10" t="s">
        <v>69</v>
      </c>
      <c r="F28" s="18" t="n">
        <f aca="false">IF(A28="",0,COUNTIF(Week!$B$6:$E$12,A28))</f>
        <v>1</v>
      </c>
      <c r="G28" s="19" t="n">
        <f aca="false">IF(A28="",1,IFERROR(IF(N(INDEX(Meals!$B$6:$B$65,MATCH(A28,Meals!$A$6:$A$65,0)))&gt;0,Week!$B$3/INDEX(Meals!$B$6:$B$65,MATCH(A28,Meals!$A$6:$A$65,0)),1),1))</f>
        <v>1</v>
      </c>
      <c r="H28" s="19" t="n">
        <f aca="false">IF(OR(B28="",F28=0),0,N(C28)*F28*G28)</f>
        <v>1</v>
      </c>
      <c r="I28" s="20" t="str">
        <f aca="false">IF(B28="","",LOWER(TRIM(B28))&amp;" | "&amp;LOWER(TRIM(D28)))</f>
        <v>lime | each</v>
      </c>
      <c r="J28" s="18" t="n">
        <f aca="false">IF(H28&lt;=0,"",IF(COUNTIFS(I$5:I27,I28,H$5:H27,"&gt;0")=0,IFERROR(MATCH(E28,Lists!$A$2:$A$8,0),7)*10000+ROW(),""))</f>
        <v>10028</v>
      </c>
    </row>
    <row r="29" customFormat="false" ht="15" hidden="false" customHeight="false" outlineLevel="0" collapsed="false">
      <c r="A29" s="10" t="s">
        <v>33</v>
      </c>
      <c r="B29" s="10" t="s">
        <v>94</v>
      </c>
      <c r="C29" s="17" t="n">
        <v>4</v>
      </c>
      <c r="D29" s="10" t="s">
        <v>68</v>
      </c>
      <c r="E29" s="10" t="s">
        <v>76</v>
      </c>
      <c r="F29" s="18" t="n">
        <f aca="false">IF(A29="",0,COUNTIF(Week!$B$6:$E$12,A29))</f>
        <v>1</v>
      </c>
      <c r="G29" s="19" t="n">
        <f aca="false">IF(A29="",1,IFERROR(IF(N(INDEX(Meals!$B$6:$B$65,MATCH(A29,Meals!$A$6:$A$65,0)))&gt;0,Week!$B$3/INDEX(Meals!$B$6:$B$65,MATCH(A29,Meals!$A$6:$A$65,0)),1),1))</f>
        <v>1</v>
      </c>
      <c r="H29" s="19" t="n">
        <f aca="false">IF(OR(B29="",F29=0),0,N(C29)*F29*G29)</f>
        <v>4</v>
      </c>
      <c r="I29" s="20" t="str">
        <f aca="false">IF(B29="","",LOWER(TRIM(B29))&amp;" | "&amp;LOWER(TRIM(D29)))</f>
        <v>salmon fillets | each</v>
      </c>
      <c r="J29" s="18" t="n">
        <f aca="false">IF(H29&lt;=0,"",IF(COUNTIFS(I$5:I28,I29,H$5:H28,"&gt;0")=0,IFERROR(MATCH(E29,Lists!$A$2:$A$8,0),7)*10000+ROW(),""))</f>
        <v>20029</v>
      </c>
    </row>
    <row r="30" customFormat="false" ht="15" hidden="false" customHeight="false" outlineLevel="0" collapsed="false">
      <c r="A30" s="10" t="s">
        <v>33</v>
      </c>
      <c r="B30" s="10" t="s">
        <v>95</v>
      </c>
      <c r="C30" s="17" t="n">
        <v>1.5</v>
      </c>
      <c r="D30" s="10" t="s">
        <v>63</v>
      </c>
      <c r="E30" s="10" t="s">
        <v>64</v>
      </c>
      <c r="F30" s="18" t="n">
        <f aca="false">IF(A30="",0,COUNTIF(Week!$B$6:$E$12,A30))</f>
        <v>1</v>
      </c>
      <c r="G30" s="19" t="n">
        <f aca="false">IF(A30="",1,IFERROR(IF(N(INDEX(Meals!$B$6:$B$65,MATCH(A30,Meals!$A$6:$A$65,0)))&gt;0,Week!$B$3/INDEX(Meals!$B$6:$B$65,MATCH(A30,Meals!$A$6:$A$65,0)),1),1))</f>
        <v>1</v>
      </c>
      <c r="H30" s="19" t="n">
        <f aca="false">IF(OR(B30="",F30=0),0,N(C30)*F30*G30)</f>
        <v>1.5</v>
      </c>
      <c r="I30" s="20" t="str">
        <f aca="false">IF(B30="","",LOWER(TRIM(B30))&amp;" | "&amp;LOWER(TRIM(D30)))</f>
        <v>rice | cup</v>
      </c>
      <c r="J30" s="18" t="n">
        <f aca="false">IF(H30&lt;=0,"",IF(COUNTIFS(I$5:I29,I30,H$5:H29,"&gt;0")=0,IFERROR(MATCH(E30,Lists!$A$2:$A$8,0),7)*10000+ROW(),""))</f>
        <v>50030</v>
      </c>
    </row>
    <row r="31" customFormat="false" ht="15" hidden="false" customHeight="false" outlineLevel="0" collapsed="false">
      <c r="A31" s="10" t="s">
        <v>33</v>
      </c>
      <c r="B31" s="10" t="s">
        <v>96</v>
      </c>
      <c r="C31" s="17" t="n">
        <v>2</v>
      </c>
      <c r="D31" s="10" t="s">
        <v>79</v>
      </c>
      <c r="E31" s="10" t="s">
        <v>69</v>
      </c>
      <c r="F31" s="18" t="n">
        <f aca="false">IF(A31="",0,COUNTIF(Week!$B$6:$E$12,A31))</f>
        <v>1</v>
      </c>
      <c r="G31" s="19" t="n">
        <f aca="false">IF(A31="",1,IFERROR(IF(N(INDEX(Meals!$B$6:$B$65,MATCH(A31,Meals!$A$6:$A$65,0)))&gt;0,Week!$B$3/INDEX(Meals!$B$6:$B$65,MATCH(A31,Meals!$A$6:$A$65,0)),1),1))</f>
        <v>1</v>
      </c>
      <c r="H31" s="19" t="n">
        <f aca="false">IF(OR(B31="",F31=0),0,N(C31)*F31*G31)</f>
        <v>2</v>
      </c>
      <c r="I31" s="20" t="str">
        <f aca="false">IF(B31="","",LOWER(TRIM(B31))&amp;" | "&amp;LOWER(TRIM(D31)))</f>
        <v>broccoli | head</v>
      </c>
      <c r="J31" s="18" t="n">
        <f aca="false">IF(H31&lt;=0,"",IF(COUNTIFS(I$5:I30,I31,H$5:H30,"&gt;0")=0,IFERROR(MATCH(E31,Lists!$A$2:$A$8,0),7)*10000+ROW(),""))</f>
        <v>10031</v>
      </c>
    </row>
    <row r="32" customFormat="false" ht="15" hidden="false" customHeight="false" outlineLevel="0" collapsed="false">
      <c r="A32" s="10" t="s">
        <v>33</v>
      </c>
      <c r="B32" s="10" t="s">
        <v>97</v>
      </c>
      <c r="C32" s="17" t="n">
        <v>1</v>
      </c>
      <c r="D32" s="10" t="s">
        <v>68</v>
      </c>
      <c r="E32" s="10" t="s">
        <v>69</v>
      </c>
      <c r="F32" s="18" t="n">
        <f aca="false">IF(A32="",0,COUNTIF(Week!$B$6:$E$12,A32))</f>
        <v>1</v>
      </c>
      <c r="G32" s="19" t="n">
        <f aca="false">IF(A32="",1,IFERROR(IF(N(INDEX(Meals!$B$6:$B$65,MATCH(A32,Meals!$A$6:$A$65,0)))&gt;0,Week!$B$3/INDEX(Meals!$B$6:$B$65,MATCH(A32,Meals!$A$6:$A$65,0)),1),1))</f>
        <v>1</v>
      </c>
      <c r="H32" s="19" t="n">
        <f aca="false">IF(OR(B32="",F32=0),0,N(C32)*F32*G32)</f>
        <v>1</v>
      </c>
      <c r="I32" s="20" t="str">
        <f aca="false">IF(B32="","",LOWER(TRIM(B32))&amp;" | "&amp;LOWER(TRIM(D32)))</f>
        <v>lemon | each</v>
      </c>
      <c r="J32" s="18" t="n">
        <f aca="false">IF(H32&lt;=0,"",IF(COUNTIFS(I$5:I31,I32,H$5:H31,"&gt;0")=0,IFERROR(MATCH(E32,Lists!$A$2:$A$8,0),7)*10000+ROW(),""))</f>
        <v>10032</v>
      </c>
    </row>
    <row r="33" customFormat="false" ht="15" hidden="false" customHeight="false" outlineLevel="0" collapsed="false">
      <c r="A33" s="10" t="s">
        <v>35</v>
      </c>
      <c r="B33" s="10" t="s">
        <v>98</v>
      </c>
      <c r="C33" s="17" t="n">
        <v>2</v>
      </c>
      <c r="D33" s="10" t="s">
        <v>81</v>
      </c>
      <c r="E33" s="10" t="s">
        <v>99</v>
      </c>
      <c r="F33" s="18" t="n">
        <f aca="false">IF(A33="",0,COUNTIF(Week!$B$6:$E$12,A33))</f>
        <v>1</v>
      </c>
      <c r="G33" s="19" t="n">
        <f aca="false">IF(A33="",1,IFERROR(IF(N(INDEX(Meals!$B$6:$B$65,MATCH(A33,Meals!$A$6:$A$65,0)))&gt;0,Week!$B$3/INDEX(Meals!$B$6:$B$65,MATCH(A33,Meals!$A$6:$A$65,0)),1),1))</f>
        <v>1</v>
      </c>
      <c r="H33" s="19" t="n">
        <f aca="false">IF(OR(B33="",F33=0),0,N(C33)*F33*G33)</f>
        <v>2</v>
      </c>
      <c r="I33" s="20" t="str">
        <f aca="false">IF(B33="","",LOWER(TRIM(B33))&amp;" | "&amp;LOWER(TRIM(D33)))</f>
        <v>frozen stir-fry vegetables | lb</v>
      </c>
      <c r="J33" s="18" t="n">
        <f aca="false">IF(H33&lt;=0,"",IF(COUNTIFS(I$5:I32,I33,H$5:H32,"&gt;0")=0,IFERROR(MATCH(E33,Lists!$A$2:$A$8,0),7)*10000+ROW(),""))</f>
        <v>60033</v>
      </c>
    </row>
    <row r="34" customFormat="false" ht="15" hidden="false" customHeight="false" outlineLevel="0" collapsed="false">
      <c r="A34" s="10" t="s">
        <v>35</v>
      </c>
      <c r="B34" s="10" t="s">
        <v>95</v>
      </c>
      <c r="C34" s="17" t="n">
        <v>1.5</v>
      </c>
      <c r="D34" s="10" t="s">
        <v>63</v>
      </c>
      <c r="E34" s="10" t="s">
        <v>64</v>
      </c>
      <c r="F34" s="18" t="n">
        <f aca="false">IF(A34="",0,COUNTIF(Week!$B$6:$E$12,A34))</f>
        <v>1</v>
      </c>
      <c r="G34" s="19" t="n">
        <f aca="false">IF(A34="",1,IFERROR(IF(N(INDEX(Meals!$B$6:$B$65,MATCH(A34,Meals!$A$6:$A$65,0)))&gt;0,Week!$B$3/INDEX(Meals!$B$6:$B$65,MATCH(A34,Meals!$A$6:$A$65,0)),1),1))</f>
        <v>1</v>
      </c>
      <c r="H34" s="19" t="n">
        <f aca="false">IF(OR(B34="",F34=0),0,N(C34)*F34*G34)</f>
        <v>1.5</v>
      </c>
      <c r="I34" s="20" t="str">
        <f aca="false">IF(B34="","",LOWER(TRIM(B34))&amp;" | "&amp;LOWER(TRIM(D34)))</f>
        <v>rice | cup</v>
      </c>
      <c r="J34" s="18" t="str">
        <f aca="false">IF(H34&lt;=0,"",IF(COUNTIFS(I$5:I33,I34,H$5:H33,"&gt;0")=0,IFERROR(MATCH(E34,Lists!$A$2:$A$8,0),7)*10000+ROW(),""))</f>
        <v/>
      </c>
    </row>
    <row r="35" customFormat="false" ht="15" hidden="false" customHeight="false" outlineLevel="0" collapsed="false">
      <c r="A35" s="10" t="s">
        <v>35</v>
      </c>
      <c r="B35" s="10" t="s">
        <v>100</v>
      </c>
      <c r="C35" s="17" t="n">
        <v>3</v>
      </c>
      <c r="D35" s="10" t="s">
        <v>71</v>
      </c>
      <c r="E35" s="10" t="s">
        <v>64</v>
      </c>
      <c r="F35" s="18" t="n">
        <f aca="false">IF(A35="",0,COUNTIF(Week!$B$6:$E$12,A35))</f>
        <v>1</v>
      </c>
      <c r="G35" s="19" t="n">
        <f aca="false">IF(A35="",1,IFERROR(IF(N(INDEX(Meals!$B$6:$B$65,MATCH(A35,Meals!$A$6:$A$65,0)))&gt;0,Week!$B$3/INDEX(Meals!$B$6:$B$65,MATCH(A35,Meals!$A$6:$A$65,0)),1),1))</f>
        <v>1</v>
      </c>
      <c r="H35" s="19" t="n">
        <f aca="false">IF(OR(B35="",F35=0),0,N(C35)*F35*G35)</f>
        <v>3</v>
      </c>
      <c r="I35" s="20" t="str">
        <f aca="false">IF(B35="","",LOWER(TRIM(B35))&amp;" | "&amp;LOWER(TRIM(D35)))</f>
        <v>soy sauce | tbsp</v>
      </c>
      <c r="J35" s="18" t="n">
        <f aca="false">IF(H35&lt;=0,"",IF(COUNTIFS(I$5:I34,I35,H$5:H34,"&gt;0")=0,IFERROR(MATCH(E35,Lists!$A$2:$A$8,0),7)*10000+ROW(),""))</f>
        <v>50035</v>
      </c>
    </row>
    <row r="36" customFormat="false" ht="15" hidden="false" customHeight="false" outlineLevel="0" collapsed="false">
      <c r="A36" s="10" t="s">
        <v>35</v>
      </c>
      <c r="B36" s="10" t="s">
        <v>101</v>
      </c>
      <c r="C36" s="17" t="n">
        <v>4</v>
      </c>
      <c r="D36" s="10" t="s">
        <v>68</v>
      </c>
      <c r="E36" s="10" t="s">
        <v>66</v>
      </c>
      <c r="F36" s="18" t="n">
        <f aca="false">IF(A36="",0,COUNTIF(Week!$B$6:$E$12,A36))</f>
        <v>1</v>
      </c>
      <c r="G36" s="19" t="n">
        <f aca="false">IF(A36="",1,IFERROR(IF(N(INDEX(Meals!$B$6:$B$65,MATCH(A36,Meals!$A$6:$A$65,0)))&gt;0,Week!$B$3/INDEX(Meals!$B$6:$B$65,MATCH(A36,Meals!$A$6:$A$65,0)),1),1))</f>
        <v>1</v>
      </c>
      <c r="H36" s="19" t="n">
        <f aca="false">IF(OR(B36="",F36=0),0,N(C36)*F36*G36)</f>
        <v>4</v>
      </c>
      <c r="I36" s="20" t="str">
        <f aca="false">IF(B36="","",LOWER(TRIM(B36))&amp;" | "&amp;LOWER(TRIM(D36)))</f>
        <v>eggs | each</v>
      </c>
      <c r="J36" s="18" t="n">
        <f aca="false">IF(H36&lt;=0,"",IF(COUNTIFS(I$5:I35,I36,H$5:H35,"&gt;0")=0,IFERROR(MATCH(E36,Lists!$A$2:$A$8,0),7)*10000+ROW(),""))</f>
        <v>30036</v>
      </c>
    </row>
    <row r="37" customFormat="false" ht="15" hidden="false" customHeight="false" outlineLevel="0" collapsed="false">
      <c r="A37" s="10" t="s">
        <v>35</v>
      </c>
      <c r="B37" s="10" t="s">
        <v>89</v>
      </c>
      <c r="C37" s="17" t="n">
        <v>2</v>
      </c>
      <c r="D37" s="10" t="s">
        <v>90</v>
      </c>
      <c r="E37" s="10" t="s">
        <v>69</v>
      </c>
      <c r="F37" s="18" t="n">
        <f aca="false">IF(A37="",0,COUNTIF(Week!$B$6:$E$12,A37))</f>
        <v>1</v>
      </c>
      <c r="G37" s="19" t="n">
        <f aca="false">IF(A37="",1,IFERROR(IF(N(INDEX(Meals!$B$6:$B$65,MATCH(A37,Meals!$A$6:$A$65,0)))&gt;0,Week!$B$3/INDEX(Meals!$B$6:$B$65,MATCH(A37,Meals!$A$6:$A$65,0)),1),1))</f>
        <v>1</v>
      </c>
      <c r="H37" s="19" t="n">
        <f aca="false">IF(OR(B37="",F37=0),0,N(C37)*F37*G37)</f>
        <v>2</v>
      </c>
      <c r="I37" s="20" t="str">
        <f aca="false">IF(B37="","",LOWER(TRIM(B37))&amp;" | "&amp;LOWER(TRIM(D37)))</f>
        <v>garlic | clove</v>
      </c>
      <c r="J37" s="18" t="str">
        <f aca="false">IF(H37&lt;=0,"",IF(COUNTIFS(I$5:I36,I37,H$5:H36,"&gt;0")=0,IFERROR(MATCH(E37,Lists!$A$2:$A$8,0),7)*10000+ROW(),""))</f>
        <v/>
      </c>
    </row>
    <row r="38" customFormat="false" ht="15" hidden="false" customHeight="false" outlineLevel="0" collapsed="false">
      <c r="A38" s="10" t="s">
        <v>30</v>
      </c>
      <c r="B38" s="10" t="s">
        <v>102</v>
      </c>
      <c r="C38" s="17" t="n">
        <v>2</v>
      </c>
      <c r="D38" s="10" t="s">
        <v>63</v>
      </c>
      <c r="E38" s="10" t="s">
        <v>64</v>
      </c>
      <c r="F38" s="18" t="n">
        <f aca="false">IF(A38="",0,COUNTIF(Week!$B$6:$E$12,A38))</f>
        <v>3</v>
      </c>
      <c r="G38" s="19" t="n">
        <f aca="false">IF(A38="",1,IFERROR(IF(N(INDEX(Meals!$B$6:$B$65,MATCH(A38,Meals!$A$6:$A$65,0)))&gt;0,Week!$B$3/INDEX(Meals!$B$6:$B$65,MATCH(A38,Meals!$A$6:$A$65,0)),1),1))</f>
        <v>0.666666666666667</v>
      </c>
      <c r="H38" s="19" t="n">
        <f aca="false">IF(OR(B38="",F38=0),0,N(C38)*F38*G38)</f>
        <v>4</v>
      </c>
      <c r="I38" s="20" t="str">
        <f aca="false">IF(B38="","",LOWER(TRIM(B38))&amp;" | "&amp;LOWER(TRIM(D38)))</f>
        <v>red lentils | cup</v>
      </c>
      <c r="J38" s="18" t="n">
        <f aca="false">IF(H38&lt;=0,"",IF(COUNTIFS(I$5:I37,I38,H$5:H37,"&gt;0")=0,IFERROR(MATCH(E38,Lists!$A$2:$A$8,0),7)*10000+ROW(),""))</f>
        <v>50038</v>
      </c>
    </row>
    <row r="39" customFormat="false" ht="15" hidden="false" customHeight="false" outlineLevel="0" collapsed="false">
      <c r="A39" s="10" t="s">
        <v>30</v>
      </c>
      <c r="B39" s="10" t="s">
        <v>103</v>
      </c>
      <c r="C39" s="17" t="n">
        <v>3</v>
      </c>
      <c r="D39" s="10" t="s">
        <v>68</v>
      </c>
      <c r="E39" s="10" t="s">
        <v>69</v>
      </c>
      <c r="F39" s="18" t="n">
        <f aca="false">IF(A39="",0,COUNTIF(Week!$B$6:$E$12,A39))</f>
        <v>3</v>
      </c>
      <c r="G39" s="19" t="n">
        <f aca="false">IF(A39="",1,IFERROR(IF(N(INDEX(Meals!$B$6:$B$65,MATCH(A39,Meals!$A$6:$A$65,0)))&gt;0,Week!$B$3/INDEX(Meals!$B$6:$B$65,MATCH(A39,Meals!$A$6:$A$65,0)),1),1))</f>
        <v>0.666666666666667</v>
      </c>
      <c r="H39" s="19" t="n">
        <f aca="false">IF(OR(B39="",F39=0),0,N(C39)*F39*G39)</f>
        <v>6</v>
      </c>
      <c r="I39" s="20" t="str">
        <f aca="false">IF(B39="","",LOWER(TRIM(B39))&amp;" | "&amp;LOWER(TRIM(D39)))</f>
        <v>carrots | each</v>
      </c>
      <c r="J39" s="18" t="n">
        <f aca="false">IF(H39&lt;=0,"",IF(COUNTIFS(I$5:I38,I39,H$5:H38,"&gt;0")=0,IFERROR(MATCH(E39,Lists!$A$2:$A$8,0),7)*10000+ROW(),""))</f>
        <v>10039</v>
      </c>
    </row>
    <row r="40" customFormat="false" ht="15" hidden="false" customHeight="false" outlineLevel="0" collapsed="false">
      <c r="A40" s="10" t="s">
        <v>30</v>
      </c>
      <c r="B40" s="10" t="s">
        <v>83</v>
      </c>
      <c r="C40" s="17" t="n">
        <v>1</v>
      </c>
      <c r="D40" s="10" t="s">
        <v>68</v>
      </c>
      <c r="E40" s="10" t="s">
        <v>69</v>
      </c>
      <c r="F40" s="18" t="n">
        <f aca="false">IF(A40="",0,COUNTIF(Week!$B$6:$E$12,A40))</f>
        <v>3</v>
      </c>
      <c r="G40" s="19" t="n">
        <f aca="false">IF(A40="",1,IFERROR(IF(N(INDEX(Meals!$B$6:$B$65,MATCH(A40,Meals!$A$6:$A$65,0)))&gt;0,Week!$B$3/INDEX(Meals!$B$6:$B$65,MATCH(A40,Meals!$A$6:$A$65,0)),1),1))</f>
        <v>0.666666666666667</v>
      </c>
      <c r="H40" s="19" t="n">
        <f aca="false">IF(OR(B40="",F40=0),0,N(C40)*F40*G40)</f>
        <v>2</v>
      </c>
      <c r="I40" s="20" t="str">
        <f aca="false">IF(B40="","",LOWER(TRIM(B40))&amp;" | "&amp;LOWER(TRIM(D40)))</f>
        <v>onion | each</v>
      </c>
      <c r="J40" s="18" t="str">
        <f aca="false">IF(H40&lt;=0,"",IF(COUNTIFS(I$5:I39,I40,H$5:H39,"&gt;0")=0,IFERROR(MATCH(E40,Lists!$A$2:$A$8,0),7)*10000+ROW(),""))</f>
        <v/>
      </c>
    </row>
    <row r="41" customFormat="false" ht="15" hidden="false" customHeight="false" outlineLevel="0" collapsed="false">
      <c r="A41" s="10" t="s">
        <v>30</v>
      </c>
      <c r="B41" s="10" t="s">
        <v>104</v>
      </c>
      <c r="C41" s="17" t="n">
        <v>6</v>
      </c>
      <c r="D41" s="10" t="s">
        <v>63</v>
      </c>
      <c r="E41" s="10" t="s">
        <v>64</v>
      </c>
      <c r="F41" s="18" t="n">
        <f aca="false">IF(A41="",0,COUNTIF(Week!$B$6:$E$12,A41))</f>
        <v>3</v>
      </c>
      <c r="G41" s="19" t="n">
        <f aca="false">IF(A41="",1,IFERROR(IF(N(INDEX(Meals!$B$6:$B$65,MATCH(A41,Meals!$A$6:$A$65,0)))&gt;0,Week!$B$3/INDEX(Meals!$B$6:$B$65,MATCH(A41,Meals!$A$6:$A$65,0)),1),1))</f>
        <v>0.666666666666667</v>
      </c>
      <c r="H41" s="19" t="n">
        <f aca="false">IF(OR(B41="",F41=0),0,N(C41)*F41*G41)</f>
        <v>12</v>
      </c>
      <c r="I41" s="20" t="str">
        <f aca="false">IF(B41="","",LOWER(TRIM(B41))&amp;" | "&amp;LOWER(TRIM(D41)))</f>
        <v>vegetable broth | cup</v>
      </c>
      <c r="J41" s="18" t="n">
        <f aca="false">IF(H41&lt;=0,"",IF(COUNTIFS(I$5:I40,I41,H$5:H40,"&gt;0")=0,IFERROR(MATCH(E41,Lists!$A$2:$A$8,0),7)*10000+ROW(),""))</f>
        <v>50041</v>
      </c>
    </row>
    <row r="42" customFormat="false" ht="15" hidden="false" customHeight="false" outlineLevel="0" collapsed="false">
      <c r="A42" s="10" t="s">
        <v>30</v>
      </c>
      <c r="B42" s="10" t="s">
        <v>105</v>
      </c>
      <c r="C42" s="17" t="n">
        <v>1</v>
      </c>
      <c r="D42" s="10" t="s">
        <v>106</v>
      </c>
      <c r="E42" s="10" t="s">
        <v>73</v>
      </c>
      <c r="F42" s="18" t="n">
        <f aca="false">IF(A42="",0,COUNTIF(Week!$B$6:$E$12,A42))</f>
        <v>3</v>
      </c>
      <c r="G42" s="19" t="n">
        <f aca="false">IF(A42="",1,IFERROR(IF(N(INDEX(Meals!$B$6:$B$65,MATCH(A42,Meals!$A$6:$A$65,0)))&gt;0,Week!$B$3/INDEX(Meals!$B$6:$B$65,MATCH(A42,Meals!$A$6:$A$65,0)),1),1))</f>
        <v>0.666666666666667</v>
      </c>
      <c r="H42" s="19" t="n">
        <f aca="false">IF(OR(B42="",F42=0),0,N(C42)*F42*G42)</f>
        <v>2</v>
      </c>
      <c r="I42" s="20" t="str">
        <f aca="false">IF(B42="","",LOWER(TRIM(B42))&amp;" | "&amp;LOWER(TRIM(D42)))</f>
        <v>bread | loaf</v>
      </c>
      <c r="J42" s="18" t="n">
        <f aca="false">IF(H42&lt;=0,"",IF(COUNTIFS(I$5:I41,I42,H$5:H41,"&gt;0")=0,IFERROR(MATCH(E42,Lists!$A$2:$A$8,0),7)*10000+ROW(),""))</f>
        <v>40042</v>
      </c>
    </row>
    <row r="43" customFormat="false" ht="15" hidden="false" customHeight="false" outlineLevel="0" collapsed="false">
      <c r="A43" s="10" t="s">
        <v>26</v>
      </c>
      <c r="B43" s="10" t="s">
        <v>107</v>
      </c>
      <c r="C43" s="17" t="n">
        <v>1</v>
      </c>
      <c r="D43" s="10" t="s">
        <v>63</v>
      </c>
      <c r="E43" s="10" t="s">
        <v>66</v>
      </c>
      <c r="F43" s="18" t="n">
        <f aca="false">IF(A43="",0,COUNTIF(Week!$B$6:$E$12,A43))</f>
        <v>3</v>
      </c>
      <c r="G43" s="19" t="n">
        <f aca="false">IF(A43="",1,IFERROR(IF(N(INDEX(Meals!$B$6:$B$65,MATCH(A43,Meals!$A$6:$A$65,0)))&gt;0,Week!$B$3/INDEX(Meals!$B$6:$B$65,MATCH(A43,Meals!$A$6:$A$65,0)),1),1))</f>
        <v>2</v>
      </c>
      <c r="H43" s="19" t="n">
        <f aca="false">IF(OR(B43="",F43=0),0,N(C43)*F43*G43)</f>
        <v>6</v>
      </c>
      <c r="I43" s="20" t="str">
        <f aca="false">IF(B43="","",LOWER(TRIM(B43))&amp;" | "&amp;LOWER(TRIM(D43)))</f>
        <v>greek yogurt | cup</v>
      </c>
      <c r="J43" s="18" t="n">
        <f aca="false">IF(H43&lt;=0,"",IF(COUNTIFS(I$5:I42,I43,H$5:H42,"&gt;0")=0,IFERROR(MATCH(E43,Lists!$A$2:$A$8,0),7)*10000+ROW(),""))</f>
        <v>30043</v>
      </c>
    </row>
    <row r="44" customFormat="false" ht="15" hidden="false" customHeight="false" outlineLevel="0" collapsed="false">
      <c r="A44" s="10" t="s">
        <v>26</v>
      </c>
      <c r="B44" s="10" t="s">
        <v>108</v>
      </c>
      <c r="C44" s="17" t="n">
        <v>0.5</v>
      </c>
      <c r="D44" s="10" t="s">
        <v>63</v>
      </c>
      <c r="E44" s="10" t="s">
        <v>99</v>
      </c>
      <c r="F44" s="18" t="n">
        <f aca="false">IF(A44="",0,COUNTIF(Week!$B$6:$E$12,A44))</f>
        <v>3</v>
      </c>
      <c r="G44" s="19" t="n">
        <f aca="false">IF(A44="",1,IFERROR(IF(N(INDEX(Meals!$B$6:$B$65,MATCH(A44,Meals!$A$6:$A$65,0)))&gt;0,Week!$B$3/INDEX(Meals!$B$6:$B$65,MATCH(A44,Meals!$A$6:$A$65,0)),1),1))</f>
        <v>2</v>
      </c>
      <c r="H44" s="19" t="n">
        <f aca="false">IF(OR(B44="",F44=0),0,N(C44)*F44*G44)</f>
        <v>3</v>
      </c>
      <c r="I44" s="20" t="str">
        <f aca="false">IF(B44="","",LOWER(TRIM(B44))&amp;" | "&amp;LOWER(TRIM(D44)))</f>
        <v>frozen berries | cup</v>
      </c>
      <c r="J44" s="18" t="n">
        <f aca="false">IF(H44&lt;=0,"",IF(COUNTIFS(I$5:I43,I44,H$5:H43,"&gt;0")=0,IFERROR(MATCH(E44,Lists!$A$2:$A$8,0),7)*10000+ROW(),""))</f>
        <v>60044</v>
      </c>
    </row>
    <row r="45" customFormat="false" ht="15" hidden="false" customHeight="false" outlineLevel="0" collapsed="false">
      <c r="A45" s="10"/>
      <c r="B45" s="10"/>
      <c r="C45" s="17"/>
      <c r="D45" s="10"/>
      <c r="E45" s="10"/>
      <c r="F45" s="18" t="n">
        <f aca="false">IF(A45="",0,COUNTIF(Week!$B$6:$E$12,A45))</f>
        <v>0</v>
      </c>
      <c r="G45" s="19" t="n">
        <f aca="false">IF(A45="",1,IFERROR(IF(N(INDEX(Meals!$B$6:$B$65,MATCH(A45,Meals!$A$6:$A$65,0)))&gt;0,Week!$B$3/INDEX(Meals!$B$6:$B$65,MATCH(A45,Meals!$A$6:$A$65,0)),1),1))</f>
        <v>1</v>
      </c>
      <c r="H45" s="19" t="n">
        <f aca="false">IF(OR(B45="",F45=0),0,N(C45)*F45*G45)</f>
        <v>0</v>
      </c>
      <c r="I45" s="20" t="str">
        <f aca="false">IF(B45="","",LOWER(TRIM(B45))&amp;" | "&amp;LOWER(TRIM(D45)))</f>
        <v/>
      </c>
      <c r="J45" s="18" t="str">
        <f aca="false">IF(H45&lt;=0,"",IF(COUNTIFS(I$5:I44,I45,H$5:H44,"&gt;0")=0,IFERROR(MATCH(E45,Lists!$A$2:$A$8,0),7)*10000+ROW(),""))</f>
        <v/>
      </c>
    </row>
    <row r="46" customFormat="false" ht="15" hidden="false" customHeight="false" outlineLevel="0" collapsed="false">
      <c r="A46" s="10"/>
      <c r="B46" s="10"/>
      <c r="C46" s="17"/>
      <c r="D46" s="10"/>
      <c r="E46" s="10"/>
      <c r="F46" s="18" t="n">
        <f aca="false">IF(A46="",0,COUNTIF(Week!$B$6:$E$12,A46))</f>
        <v>0</v>
      </c>
      <c r="G46" s="19" t="n">
        <f aca="false">IF(A46="",1,IFERROR(IF(N(INDEX(Meals!$B$6:$B$65,MATCH(A46,Meals!$A$6:$A$65,0)))&gt;0,Week!$B$3/INDEX(Meals!$B$6:$B$65,MATCH(A46,Meals!$A$6:$A$65,0)),1),1))</f>
        <v>1</v>
      </c>
      <c r="H46" s="19" t="n">
        <f aca="false">IF(OR(B46="",F46=0),0,N(C46)*F46*G46)</f>
        <v>0</v>
      </c>
      <c r="I46" s="20" t="str">
        <f aca="false">IF(B46="","",LOWER(TRIM(B46))&amp;" | "&amp;LOWER(TRIM(D46)))</f>
        <v/>
      </c>
      <c r="J46" s="18" t="str">
        <f aca="false">IF(H46&lt;=0,"",IF(COUNTIFS(I$5:I45,I46,H$5:H45,"&gt;0")=0,IFERROR(MATCH(E46,Lists!$A$2:$A$8,0),7)*10000+ROW(),""))</f>
        <v/>
      </c>
    </row>
    <row r="47" customFormat="false" ht="15" hidden="false" customHeight="false" outlineLevel="0" collapsed="false">
      <c r="A47" s="10"/>
      <c r="B47" s="10"/>
      <c r="C47" s="17"/>
      <c r="D47" s="10"/>
      <c r="E47" s="10"/>
      <c r="F47" s="18" t="n">
        <f aca="false">IF(A47="",0,COUNTIF(Week!$B$6:$E$12,A47))</f>
        <v>0</v>
      </c>
      <c r="G47" s="19" t="n">
        <f aca="false">IF(A47="",1,IFERROR(IF(N(INDEX(Meals!$B$6:$B$65,MATCH(A47,Meals!$A$6:$A$65,0)))&gt;0,Week!$B$3/INDEX(Meals!$B$6:$B$65,MATCH(A47,Meals!$A$6:$A$65,0)),1),1))</f>
        <v>1</v>
      </c>
      <c r="H47" s="19" t="n">
        <f aca="false">IF(OR(B47="",F47=0),0,N(C47)*F47*G47)</f>
        <v>0</v>
      </c>
      <c r="I47" s="20" t="str">
        <f aca="false">IF(B47="","",LOWER(TRIM(B47))&amp;" | "&amp;LOWER(TRIM(D47)))</f>
        <v/>
      </c>
      <c r="J47" s="18" t="str">
        <f aca="false">IF(H47&lt;=0,"",IF(COUNTIFS(I$5:I46,I47,H$5:H46,"&gt;0")=0,IFERROR(MATCH(E47,Lists!$A$2:$A$8,0),7)*10000+ROW(),""))</f>
        <v/>
      </c>
    </row>
    <row r="48" customFormat="false" ht="15" hidden="false" customHeight="false" outlineLevel="0" collapsed="false">
      <c r="A48" s="10"/>
      <c r="B48" s="10"/>
      <c r="C48" s="17"/>
      <c r="D48" s="10"/>
      <c r="E48" s="10"/>
      <c r="F48" s="18" t="n">
        <f aca="false">IF(A48="",0,COUNTIF(Week!$B$6:$E$12,A48))</f>
        <v>0</v>
      </c>
      <c r="G48" s="19" t="n">
        <f aca="false">IF(A48="",1,IFERROR(IF(N(INDEX(Meals!$B$6:$B$65,MATCH(A48,Meals!$A$6:$A$65,0)))&gt;0,Week!$B$3/INDEX(Meals!$B$6:$B$65,MATCH(A48,Meals!$A$6:$A$65,0)),1),1))</f>
        <v>1</v>
      </c>
      <c r="H48" s="19" t="n">
        <f aca="false">IF(OR(B48="",F48=0),0,N(C48)*F48*G48)</f>
        <v>0</v>
      </c>
      <c r="I48" s="20" t="str">
        <f aca="false">IF(B48="","",LOWER(TRIM(B48))&amp;" | "&amp;LOWER(TRIM(D48)))</f>
        <v/>
      </c>
      <c r="J48" s="18" t="str">
        <f aca="false">IF(H48&lt;=0,"",IF(COUNTIFS(I$5:I47,I48,H$5:H47,"&gt;0")=0,IFERROR(MATCH(E48,Lists!$A$2:$A$8,0),7)*10000+ROW(),""))</f>
        <v/>
      </c>
    </row>
    <row r="49" customFormat="false" ht="15" hidden="false" customHeight="false" outlineLevel="0" collapsed="false">
      <c r="A49" s="10"/>
      <c r="B49" s="10"/>
      <c r="C49" s="17"/>
      <c r="D49" s="10"/>
      <c r="E49" s="10"/>
      <c r="F49" s="18" t="n">
        <f aca="false">IF(A49="",0,COUNTIF(Week!$B$6:$E$12,A49))</f>
        <v>0</v>
      </c>
      <c r="G49" s="19" t="n">
        <f aca="false">IF(A49="",1,IFERROR(IF(N(INDEX(Meals!$B$6:$B$65,MATCH(A49,Meals!$A$6:$A$65,0)))&gt;0,Week!$B$3/INDEX(Meals!$B$6:$B$65,MATCH(A49,Meals!$A$6:$A$65,0)),1),1))</f>
        <v>1</v>
      </c>
      <c r="H49" s="19" t="n">
        <f aca="false">IF(OR(B49="",F49=0),0,N(C49)*F49*G49)</f>
        <v>0</v>
      </c>
      <c r="I49" s="20" t="str">
        <f aca="false">IF(B49="","",LOWER(TRIM(B49))&amp;" | "&amp;LOWER(TRIM(D49)))</f>
        <v/>
      </c>
      <c r="J49" s="18" t="str">
        <f aca="false">IF(H49&lt;=0,"",IF(COUNTIFS(I$5:I48,I49,H$5:H48,"&gt;0")=0,IFERROR(MATCH(E49,Lists!$A$2:$A$8,0),7)*10000+ROW(),""))</f>
        <v/>
      </c>
    </row>
    <row r="50" customFormat="false" ht="15" hidden="false" customHeight="false" outlineLevel="0" collapsed="false">
      <c r="A50" s="10"/>
      <c r="B50" s="10"/>
      <c r="C50" s="17"/>
      <c r="D50" s="10"/>
      <c r="E50" s="10"/>
      <c r="F50" s="18" t="n">
        <f aca="false">IF(A50="",0,COUNTIF(Week!$B$6:$E$12,A50))</f>
        <v>0</v>
      </c>
      <c r="G50" s="19" t="n">
        <f aca="false">IF(A50="",1,IFERROR(IF(N(INDEX(Meals!$B$6:$B$65,MATCH(A50,Meals!$A$6:$A$65,0)))&gt;0,Week!$B$3/INDEX(Meals!$B$6:$B$65,MATCH(A50,Meals!$A$6:$A$65,0)),1),1))</f>
        <v>1</v>
      </c>
      <c r="H50" s="19" t="n">
        <f aca="false">IF(OR(B50="",F50=0),0,N(C50)*F50*G50)</f>
        <v>0</v>
      </c>
      <c r="I50" s="20" t="str">
        <f aca="false">IF(B50="","",LOWER(TRIM(B50))&amp;" | "&amp;LOWER(TRIM(D50)))</f>
        <v/>
      </c>
      <c r="J50" s="18" t="str">
        <f aca="false">IF(H50&lt;=0,"",IF(COUNTIFS(I$5:I49,I50,H$5:H49,"&gt;0")=0,IFERROR(MATCH(E50,Lists!$A$2:$A$8,0),7)*10000+ROW(),""))</f>
        <v/>
      </c>
    </row>
    <row r="51" customFormat="false" ht="15" hidden="false" customHeight="false" outlineLevel="0" collapsed="false">
      <c r="A51" s="10"/>
      <c r="B51" s="10"/>
      <c r="C51" s="17"/>
      <c r="D51" s="10"/>
      <c r="E51" s="10"/>
      <c r="F51" s="18" t="n">
        <f aca="false">IF(A51="",0,COUNTIF(Week!$B$6:$E$12,A51))</f>
        <v>0</v>
      </c>
      <c r="G51" s="19" t="n">
        <f aca="false">IF(A51="",1,IFERROR(IF(N(INDEX(Meals!$B$6:$B$65,MATCH(A51,Meals!$A$6:$A$65,0)))&gt;0,Week!$B$3/INDEX(Meals!$B$6:$B$65,MATCH(A51,Meals!$A$6:$A$65,0)),1),1))</f>
        <v>1</v>
      </c>
      <c r="H51" s="19" t="n">
        <f aca="false">IF(OR(B51="",F51=0),0,N(C51)*F51*G51)</f>
        <v>0</v>
      </c>
      <c r="I51" s="20" t="str">
        <f aca="false">IF(B51="","",LOWER(TRIM(B51))&amp;" | "&amp;LOWER(TRIM(D51)))</f>
        <v/>
      </c>
      <c r="J51" s="18" t="str">
        <f aca="false">IF(H51&lt;=0,"",IF(COUNTIFS(I$5:I50,I51,H$5:H50,"&gt;0")=0,IFERROR(MATCH(E51,Lists!$A$2:$A$8,0),7)*10000+ROW(),""))</f>
        <v/>
      </c>
    </row>
    <row r="52" customFormat="false" ht="15" hidden="false" customHeight="false" outlineLevel="0" collapsed="false">
      <c r="A52" s="10"/>
      <c r="B52" s="10"/>
      <c r="C52" s="17"/>
      <c r="D52" s="10"/>
      <c r="E52" s="10"/>
      <c r="F52" s="18" t="n">
        <f aca="false">IF(A52="",0,COUNTIF(Week!$B$6:$E$12,A52))</f>
        <v>0</v>
      </c>
      <c r="G52" s="19" t="n">
        <f aca="false">IF(A52="",1,IFERROR(IF(N(INDEX(Meals!$B$6:$B$65,MATCH(A52,Meals!$A$6:$A$65,0)))&gt;0,Week!$B$3/INDEX(Meals!$B$6:$B$65,MATCH(A52,Meals!$A$6:$A$65,0)),1),1))</f>
        <v>1</v>
      </c>
      <c r="H52" s="19" t="n">
        <f aca="false">IF(OR(B52="",F52=0),0,N(C52)*F52*G52)</f>
        <v>0</v>
      </c>
      <c r="I52" s="20" t="str">
        <f aca="false">IF(B52="","",LOWER(TRIM(B52))&amp;" | "&amp;LOWER(TRIM(D52)))</f>
        <v/>
      </c>
      <c r="J52" s="18" t="str">
        <f aca="false">IF(H52&lt;=0,"",IF(COUNTIFS(I$5:I51,I52,H$5:H51,"&gt;0")=0,IFERROR(MATCH(E52,Lists!$A$2:$A$8,0),7)*10000+ROW(),""))</f>
        <v/>
      </c>
    </row>
    <row r="53" customFormat="false" ht="15" hidden="false" customHeight="false" outlineLevel="0" collapsed="false">
      <c r="A53" s="10"/>
      <c r="B53" s="10"/>
      <c r="C53" s="17"/>
      <c r="D53" s="10"/>
      <c r="E53" s="10"/>
      <c r="F53" s="18" t="n">
        <f aca="false">IF(A53="",0,COUNTIF(Week!$B$6:$E$12,A53))</f>
        <v>0</v>
      </c>
      <c r="G53" s="19" t="n">
        <f aca="false">IF(A53="",1,IFERROR(IF(N(INDEX(Meals!$B$6:$B$65,MATCH(A53,Meals!$A$6:$A$65,0)))&gt;0,Week!$B$3/INDEX(Meals!$B$6:$B$65,MATCH(A53,Meals!$A$6:$A$65,0)),1),1))</f>
        <v>1</v>
      </c>
      <c r="H53" s="19" t="n">
        <f aca="false">IF(OR(B53="",F53=0),0,N(C53)*F53*G53)</f>
        <v>0</v>
      </c>
      <c r="I53" s="20" t="str">
        <f aca="false">IF(B53="","",LOWER(TRIM(B53))&amp;" | "&amp;LOWER(TRIM(D53)))</f>
        <v/>
      </c>
      <c r="J53" s="18" t="str">
        <f aca="false">IF(H53&lt;=0,"",IF(COUNTIFS(I$5:I52,I53,H$5:H52,"&gt;0")=0,IFERROR(MATCH(E53,Lists!$A$2:$A$8,0),7)*10000+ROW(),""))</f>
        <v/>
      </c>
    </row>
    <row r="54" customFormat="false" ht="15" hidden="false" customHeight="false" outlineLevel="0" collapsed="false">
      <c r="A54" s="10"/>
      <c r="B54" s="10"/>
      <c r="C54" s="17"/>
      <c r="D54" s="10"/>
      <c r="E54" s="10"/>
      <c r="F54" s="18" t="n">
        <f aca="false">IF(A54="",0,COUNTIF(Week!$B$6:$E$12,A54))</f>
        <v>0</v>
      </c>
      <c r="G54" s="19" t="n">
        <f aca="false">IF(A54="",1,IFERROR(IF(N(INDEX(Meals!$B$6:$B$65,MATCH(A54,Meals!$A$6:$A$65,0)))&gt;0,Week!$B$3/INDEX(Meals!$B$6:$B$65,MATCH(A54,Meals!$A$6:$A$65,0)),1),1))</f>
        <v>1</v>
      </c>
      <c r="H54" s="19" t="n">
        <f aca="false">IF(OR(B54="",F54=0),0,N(C54)*F54*G54)</f>
        <v>0</v>
      </c>
      <c r="I54" s="20" t="str">
        <f aca="false">IF(B54="","",LOWER(TRIM(B54))&amp;" | "&amp;LOWER(TRIM(D54)))</f>
        <v/>
      </c>
      <c r="J54" s="18" t="str">
        <f aca="false">IF(H54&lt;=0,"",IF(COUNTIFS(I$5:I53,I54,H$5:H53,"&gt;0")=0,IFERROR(MATCH(E54,Lists!$A$2:$A$8,0),7)*10000+ROW(),""))</f>
        <v/>
      </c>
    </row>
    <row r="55" customFormat="false" ht="15" hidden="false" customHeight="false" outlineLevel="0" collapsed="false">
      <c r="A55" s="10"/>
      <c r="B55" s="10"/>
      <c r="C55" s="17"/>
      <c r="D55" s="10"/>
      <c r="E55" s="10"/>
      <c r="F55" s="18" t="n">
        <f aca="false">IF(A55="",0,COUNTIF(Week!$B$6:$E$12,A55))</f>
        <v>0</v>
      </c>
      <c r="G55" s="19" t="n">
        <f aca="false">IF(A55="",1,IFERROR(IF(N(INDEX(Meals!$B$6:$B$65,MATCH(A55,Meals!$A$6:$A$65,0)))&gt;0,Week!$B$3/INDEX(Meals!$B$6:$B$65,MATCH(A55,Meals!$A$6:$A$65,0)),1),1))</f>
        <v>1</v>
      </c>
      <c r="H55" s="19" t="n">
        <f aca="false">IF(OR(B55="",F55=0),0,N(C55)*F55*G55)</f>
        <v>0</v>
      </c>
      <c r="I55" s="20" t="str">
        <f aca="false">IF(B55="","",LOWER(TRIM(B55))&amp;" | "&amp;LOWER(TRIM(D55)))</f>
        <v/>
      </c>
      <c r="J55" s="18" t="str">
        <f aca="false">IF(H55&lt;=0,"",IF(COUNTIFS(I$5:I54,I55,H$5:H54,"&gt;0")=0,IFERROR(MATCH(E55,Lists!$A$2:$A$8,0),7)*10000+ROW(),""))</f>
        <v/>
      </c>
    </row>
    <row r="56" customFormat="false" ht="15" hidden="false" customHeight="false" outlineLevel="0" collapsed="false">
      <c r="A56" s="10"/>
      <c r="B56" s="10"/>
      <c r="C56" s="17"/>
      <c r="D56" s="10"/>
      <c r="E56" s="10"/>
      <c r="F56" s="18" t="n">
        <f aca="false">IF(A56="",0,COUNTIF(Week!$B$6:$E$12,A56))</f>
        <v>0</v>
      </c>
      <c r="G56" s="19" t="n">
        <f aca="false">IF(A56="",1,IFERROR(IF(N(INDEX(Meals!$B$6:$B$65,MATCH(A56,Meals!$A$6:$A$65,0)))&gt;0,Week!$B$3/INDEX(Meals!$B$6:$B$65,MATCH(A56,Meals!$A$6:$A$65,0)),1),1))</f>
        <v>1</v>
      </c>
      <c r="H56" s="19" t="n">
        <f aca="false">IF(OR(B56="",F56=0),0,N(C56)*F56*G56)</f>
        <v>0</v>
      </c>
      <c r="I56" s="20" t="str">
        <f aca="false">IF(B56="","",LOWER(TRIM(B56))&amp;" | "&amp;LOWER(TRIM(D56)))</f>
        <v/>
      </c>
      <c r="J56" s="18" t="str">
        <f aca="false">IF(H56&lt;=0,"",IF(COUNTIFS(I$5:I55,I56,H$5:H55,"&gt;0")=0,IFERROR(MATCH(E56,Lists!$A$2:$A$8,0),7)*10000+ROW(),""))</f>
        <v/>
      </c>
    </row>
    <row r="57" customFormat="false" ht="15" hidden="false" customHeight="false" outlineLevel="0" collapsed="false">
      <c r="A57" s="10"/>
      <c r="B57" s="10"/>
      <c r="C57" s="17"/>
      <c r="D57" s="10"/>
      <c r="E57" s="10"/>
      <c r="F57" s="18" t="n">
        <f aca="false">IF(A57="",0,COUNTIF(Week!$B$6:$E$12,A57))</f>
        <v>0</v>
      </c>
      <c r="G57" s="19" t="n">
        <f aca="false">IF(A57="",1,IFERROR(IF(N(INDEX(Meals!$B$6:$B$65,MATCH(A57,Meals!$A$6:$A$65,0)))&gt;0,Week!$B$3/INDEX(Meals!$B$6:$B$65,MATCH(A57,Meals!$A$6:$A$65,0)),1),1))</f>
        <v>1</v>
      </c>
      <c r="H57" s="19" t="n">
        <f aca="false">IF(OR(B57="",F57=0),0,N(C57)*F57*G57)</f>
        <v>0</v>
      </c>
      <c r="I57" s="20" t="str">
        <f aca="false">IF(B57="","",LOWER(TRIM(B57))&amp;" | "&amp;LOWER(TRIM(D57)))</f>
        <v/>
      </c>
      <c r="J57" s="18" t="str">
        <f aca="false">IF(H57&lt;=0,"",IF(COUNTIFS(I$5:I56,I57,H$5:H56,"&gt;0")=0,IFERROR(MATCH(E57,Lists!$A$2:$A$8,0),7)*10000+ROW(),""))</f>
        <v/>
      </c>
    </row>
    <row r="58" customFormat="false" ht="15" hidden="false" customHeight="false" outlineLevel="0" collapsed="false">
      <c r="A58" s="10"/>
      <c r="B58" s="10"/>
      <c r="C58" s="17"/>
      <c r="D58" s="10"/>
      <c r="E58" s="10"/>
      <c r="F58" s="18" t="n">
        <f aca="false">IF(A58="",0,COUNTIF(Week!$B$6:$E$12,A58))</f>
        <v>0</v>
      </c>
      <c r="G58" s="19" t="n">
        <f aca="false">IF(A58="",1,IFERROR(IF(N(INDEX(Meals!$B$6:$B$65,MATCH(A58,Meals!$A$6:$A$65,0)))&gt;0,Week!$B$3/INDEX(Meals!$B$6:$B$65,MATCH(A58,Meals!$A$6:$A$65,0)),1),1))</f>
        <v>1</v>
      </c>
      <c r="H58" s="19" t="n">
        <f aca="false">IF(OR(B58="",F58=0),0,N(C58)*F58*G58)</f>
        <v>0</v>
      </c>
      <c r="I58" s="20" t="str">
        <f aca="false">IF(B58="","",LOWER(TRIM(B58))&amp;" | "&amp;LOWER(TRIM(D58)))</f>
        <v/>
      </c>
      <c r="J58" s="18" t="str">
        <f aca="false">IF(H58&lt;=0,"",IF(COUNTIFS(I$5:I57,I58,H$5:H57,"&gt;0")=0,IFERROR(MATCH(E58,Lists!$A$2:$A$8,0),7)*10000+ROW(),""))</f>
        <v/>
      </c>
    </row>
    <row r="59" customFormat="false" ht="15" hidden="false" customHeight="false" outlineLevel="0" collapsed="false">
      <c r="A59" s="10"/>
      <c r="B59" s="10"/>
      <c r="C59" s="17"/>
      <c r="D59" s="10"/>
      <c r="E59" s="10"/>
      <c r="F59" s="18" t="n">
        <f aca="false">IF(A59="",0,COUNTIF(Week!$B$6:$E$12,A59))</f>
        <v>0</v>
      </c>
      <c r="G59" s="19" t="n">
        <f aca="false">IF(A59="",1,IFERROR(IF(N(INDEX(Meals!$B$6:$B$65,MATCH(A59,Meals!$A$6:$A$65,0)))&gt;0,Week!$B$3/INDEX(Meals!$B$6:$B$65,MATCH(A59,Meals!$A$6:$A$65,0)),1),1))</f>
        <v>1</v>
      </c>
      <c r="H59" s="19" t="n">
        <f aca="false">IF(OR(B59="",F59=0),0,N(C59)*F59*G59)</f>
        <v>0</v>
      </c>
      <c r="I59" s="20" t="str">
        <f aca="false">IF(B59="","",LOWER(TRIM(B59))&amp;" | "&amp;LOWER(TRIM(D59)))</f>
        <v/>
      </c>
      <c r="J59" s="18" t="str">
        <f aca="false">IF(H59&lt;=0,"",IF(COUNTIFS(I$5:I58,I59,H$5:H58,"&gt;0")=0,IFERROR(MATCH(E59,Lists!$A$2:$A$8,0),7)*10000+ROW(),""))</f>
        <v/>
      </c>
    </row>
    <row r="60" customFormat="false" ht="15" hidden="false" customHeight="false" outlineLevel="0" collapsed="false">
      <c r="A60" s="10"/>
      <c r="B60" s="10"/>
      <c r="C60" s="17"/>
      <c r="D60" s="10"/>
      <c r="E60" s="10"/>
      <c r="F60" s="18" t="n">
        <f aca="false">IF(A60="",0,COUNTIF(Week!$B$6:$E$12,A60))</f>
        <v>0</v>
      </c>
      <c r="G60" s="19" t="n">
        <f aca="false">IF(A60="",1,IFERROR(IF(N(INDEX(Meals!$B$6:$B$65,MATCH(A60,Meals!$A$6:$A$65,0)))&gt;0,Week!$B$3/INDEX(Meals!$B$6:$B$65,MATCH(A60,Meals!$A$6:$A$65,0)),1),1))</f>
        <v>1</v>
      </c>
      <c r="H60" s="19" t="n">
        <f aca="false">IF(OR(B60="",F60=0),0,N(C60)*F60*G60)</f>
        <v>0</v>
      </c>
      <c r="I60" s="20" t="str">
        <f aca="false">IF(B60="","",LOWER(TRIM(B60))&amp;" | "&amp;LOWER(TRIM(D60)))</f>
        <v/>
      </c>
      <c r="J60" s="18" t="str">
        <f aca="false">IF(H60&lt;=0,"",IF(COUNTIFS(I$5:I59,I60,H$5:H59,"&gt;0")=0,IFERROR(MATCH(E60,Lists!$A$2:$A$8,0),7)*10000+ROW(),""))</f>
        <v/>
      </c>
    </row>
    <row r="61" customFormat="false" ht="15" hidden="false" customHeight="false" outlineLevel="0" collapsed="false">
      <c r="A61" s="10"/>
      <c r="B61" s="10"/>
      <c r="C61" s="17"/>
      <c r="D61" s="10"/>
      <c r="E61" s="10"/>
      <c r="F61" s="18" t="n">
        <f aca="false">IF(A61="",0,COUNTIF(Week!$B$6:$E$12,A61))</f>
        <v>0</v>
      </c>
      <c r="G61" s="19" t="n">
        <f aca="false">IF(A61="",1,IFERROR(IF(N(INDEX(Meals!$B$6:$B$65,MATCH(A61,Meals!$A$6:$A$65,0)))&gt;0,Week!$B$3/INDEX(Meals!$B$6:$B$65,MATCH(A61,Meals!$A$6:$A$65,0)),1),1))</f>
        <v>1</v>
      </c>
      <c r="H61" s="19" t="n">
        <f aca="false">IF(OR(B61="",F61=0),0,N(C61)*F61*G61)</f>
        <v>0</v>
      </c>
      <c r="I61" s="20" t="str">
        <f aca="false">IF(B61="","",LOWER(TRIM(B61))&amp;" | "&amp;LOWER(TRIM(D61)))</f>
        <v/>
      </c>
      <c r="J61" s="18" t="str">
        <f aca="false">IF(H61&lt;=0,"",IF(COUNTIFS(I$5:I60,I61,H$5:H60,"&gt;0")=0,IFERROR(MATCH(E61,Lists!$A$2:$A$8,0),7)*10000+ROW(),""))</f>
        <v/>
      </c>
    </row>
    <row r="62" customFormat="false" ht="15" hidden="false" customHeight="false" outlineLevel="0" collapsed="false">
      <c r="A62" s="10"/>
      <c r="B62" s="10"/>
      <c r="C62" s="17"/>
      <c r="D62" s="10"/>
      <c r="E62" s="10"/>
      <c r="F62" s="18" t="n">
        <f aca="false">IF(A62="",0,COUNTIF(Week!$B$6:$E$12,A62))</f>
        <v>0</v>
      </c>
      <c r="G62" s="19" t="n">
        <f aca="false">IF(A62="",1,IFERROR(IF(N(INDEX(Meals!$B$6:$B$65,MATCH(A62,Meals!$A$6:$A$65,0)))&gt;0,Week!$B$3/INDEX(Meals!$B$6:$B$65,MATCH(A62,Meals!$A$6:$A$65,0)),1),1))</f>
        <v>1</v>
      </c>
      <c r="H62" s="19" t="n">
        <f aca="false">IF(OR(B62="",F62=0),0,N(C62)*F62*G62)</f>
        <v>0</v>
      </c>
      <c r="I62" s="20" t="str">
        <f aca="false">IF(B62="","",LOWER(TRIM(B62))&amp;" | "&amp;LOWER(TRIM(D62)))</f>
        <v/>
      </c>
      <c r="J62" s="18" t="str">
        <f aca="false">IF(H62&lt;=0,"",IF(COUNTIFS(I$5:I61,I62,H$5:H61,"&gt;0")=0,IFERROR(MATCH(E62,Lists!$A$2:$A$8,0),7)*10000+ROW(),""))</f>
        <v/>
      </c>
    </row>
    <row r="63" customFormat="false" ht="15" hidden="false" customHeight="false" outlineLevel="0" collapsed="false">
      <c r="A63" s="10"/>
      <c r="B63" s="10"/>
      <c r="C63" s="17"/>
      <c r="D63" s="10"/>
      <c r="E63" s="10"/>
      <c r="F63" s="18" t="n">
        <f aca="false">IF(A63="",0,COUNTIF(Week!$B$6:$E$12,A63))</f>
        <v>0</v>
      </c>
      <c r="G63" s="19" t="n">
        <f aca="false">IF(A63="",1,IFERROR(IF(N(INDEX(Meals!$B$6:$B$65,MATCH(A63,Meals!$A$6:$A$65,0)))&gt;0,Week!$B$3/INDEX(Meals!$B$6:$B$65,MATCH(A63,Meals!$A$6:$A$65,0)),1),1))</f>
        <v>1</v>
      </c>
      <c r="H63" s="19" t="n">
        <f aca="false">IF(OR(B63="",F63=0),0,N(C63)*F63*G63)</f>
        <v>0</v>
      </c>
      <c r="I63" s="20" t="str">
        <f aca="false">IF(B63="","",LOWER(TRIM(B63))&amp;" | "&amp;LOWER(TRIM(D63)))</f>
        <v/>
      </c>
      <c r="J63" s="18" t="str">
        <f aca="false">IF(H63&lt;=0,"",IF(COUNTIFS(I$5:I62,I63,H$5:H62,"&gt;0")=0,IFERROR(MATCH(E63,Lists!$A$2:$A$8,0),7)*10000+ROW(),""))</f>
        <v/>
      </c>
    </row>
    <row r="64" customFormat="false" ht="15" hidden="false" customHeight="false" outlineLevel="0" collapsed="false">
      <c r="A64" s="10"/>
      <c r="B64" s="10"/>
      <c r="C64" s="17"/>
      <c r="D64" s="10"/>
      <c r="E64" s="10"/>
      <c r="F64" s="18" t="n">
        <f aca="false">IF(A64="",0,COUNTIF(Week!$B$6:$E$12,A64))</f>
        <v>0</v>
      </c>
      <c r="G64" s="19" t="n">
        <f aca="false">IF(A64="",1,IFERROR(IF(N(INDEX(Meals!$B$6:$B$65,MATCH(A64,Meals!$A$6:$A$65,0)))&gt;0,Week!$B$3/INDEX(Meals!$B$6:$B$65,MATCH(A64,Meals!$A$6:$A$65,0)),1),1))</f>
        <v>1</v>
      </c>
      <c r="H64" s="19" t="n">
        <f aca="false">IF(OR(B64="",F64=0),0,N(C64)*F64*G64)</f>
        <v>0</v>
      </c>
      <c r="I64" s="20" t="str">
        <f aca="false">IF(B64="","",LOWER(TRIM(B64))&amp;" | "&amp;LOWER(TRIM(D64)))</f>
        <v/>
      </c>
      <c r="J64" s="18" t="str">
        <f aca="false">IF(H64&lt;=0,"",IF(COUNTIFS(I$5:I63,I64,H$5:H63,"&gt;0")=0,IFERROR(MATCH(E64,Lists!$A$2:$A$8,0),7)*10000+ROW(),""))</f>
        <v/>
      </c>
    </row>
    <row r="65" customFormat="false" ht="15" hidden="false" customHeight="false" outlineLevel="0" collapsed="false">
      <c r="A65" s="10"/>
      <c r="B65" s="10"/>
      <c r="C65" s="17"/>
      <c r="D65" s="10"/>
      <c r="E65" s="10"/>
      <c r="F65" s="18" t="n">
        <f aca="false">IF(A65="",0,COUNTIF(Week!$B$6:$E$12,A65))</f>
        <v>0</v>
      </c>
      <c r="G65" s="19" t="n">
        <f aca="false">IF(A65="",1,IFERROR(IF(N(INDEX(Meals!$B$6:$B$65,MATCH(A65,Meals!$A$6:$A$65,0)))&gt;0,Week!$B$3/INDEX(Meals!$B$6:$B$65,MATCH(A65,Meals!$A$6:$A$65,0)),1),1))</f>
        <v>1</v>
      </c>
      <c r="H65" s="19" t="n">
        <f aca="false">IF(OR(B65="",F65=0),0,N(C65)*F65*G65)</f>
        <v>0</v>
      </c>
      <c r="I65" s="20" t="str">
        <f aca="false">IF(B65="","",LOWER(TRIM(B65))&amp;" | "&amp;LOWER(TRIM(D65)))</f>
        <v/>
      </c>
      <c r="J65" s="18" t="str">
        <f aca="false">IF(H65&lt;=0,"",IF(COUNTIFS(I$5:I64,I65,H$5:H64,"&gt;0")=0,IFERROR(MATCH(E65,Lists!$A$2:$A$8,0),7)*10000+ROW(),""))</f>
        <v/>
      </c>
    </row>
    <row r="66" customFormat="false" ht="15" hidden="false" customHeight="false" outlineLevel="0" collapsed="false">
      <c r="A66" s="10"/>
      <c r="B66" s="10"/>
      <c r="C66" s="17"/>
      <c r="D66" s="10"/>
      <c r="E66" s="10"/>
      <c r="F66" s="18" t="n">
        <f aca="false">IF(A66="",0,COUNTIF(Week!$B$6:$E$12,A66))</f>
        <v>0</v>
      </c>
      <c r="G66" s="19" t="n">
        <f aca="false">IF(A66="",1,IFERROR(IF(N(INDEX(Meals!$B$6:$B$65,MATCH(A66,Meals!$A$6:$A$65,0)))&gt;0,Week!$B$3/INDEX(Meals!$B$6:$B$65,MATCH(A66,Meals!$A$6:$A$65,0)),1),1))</f>
        <v>1</v>
      </c>
      <c r="H66" s="19" t="n">
        <f aca="false">IF(OR(B66="",F66=0),0,N(C66)*F66*G66)</f>
        <v>0</v>
      </c>
      <c r="I66" s="20" t="str">
        <f aca="false">IF(B66="","",LOWER(TRIM(B66))&amp;" | "&amp;LOWER(TRIM(D66)))</f>
        <v/>
      </c>
      <c r="J66" s="18" t="str">
        <f aca="false">IF(H66&lt;=0,"",IF(COUNTIFS(I$5:I65,I66,H$5:H65,"&gt;0")=0,IFERROR(MATCH(E66,Lists!$A$2:$A$8,0),7)*10000+ROW(),""))</f>
        <v/>
      </c>
    </row>
    <row r="67" customFormat="false" ht="15" hidden="false" customHeight="false" outlineLevel="0" collapsed="false">
      <c r="A67" s="10"/>
      <c r="B67" s="10"/>
      <c r="C67" s="17"/>
      <c r="D67" s="10"/>
      <c r="E67" s="10"/>
      <c r="F67" s="18" t="n">
        <f aca="false">IF(A67="",0,COUNTIF(Week!$B$6:$E$12,A67))</f>
        <v>0</v>
      </c>
      <c r="G67" s="19" t="n">
        <f aca="false">IF(A67="",1,IFERROR(IF(N(INDEX(Meals!$B$6:$B$65,MATCH(A67,Meals!$A$6:$A$65,0)))&gt;0,Week!$B$3/INDEX(Meals!$B$6:$B$65,MATCH(A67,Meals!$A$6:$A$65,0)),1),1))</f>
        <v>1</v>
      </c>
      <c r="H67" s="19" t="n">
        <f aca="false">IF(OR(B67="",F67=0),0,N(C67)*F67*G67)</f>
        <v>0</v>
      </c>
      <c r="I67" s="20" t="str">
        <f aca="false">IF(B67="","",LOWER(TRIM(B67))&amp;" | "&amp;LOWER(TRIM(D67)))</f>
        <v/>
      </c>
      <c r="J67" s="18" t="str">
        <f aca="false">IF(H67&lt;=0,"",IF(COUNTIFS(I$5:I66,I67,H$5:H66,"&gt;0")=0,IFERROR(MATCH(E67,Lists!$A$2:$A$8,0),7)*10000+ROW(),""))</f>
        <v/>
      </c>
    </row>
    <row r="68" customFormat="false" ht="15" hidden="false" customHeight="false" outlineLevel="0" collapsed="false">
      <c r="A68" s="10"/>
      <c r="B68" s="10"/>
      <c r="C68" s="17"/>
      <c r="D68" s="10"/>
      <c r="E68" s="10"/>
      <c r="F68" s="18" t="n">
        <f aca="false">IF(A68="",0,COUNTIF(Week!$B$6:$E$12,A68))</f>
        <v>0</v>
      </c>
      <c r="G68" s="19" t="n">
        <f aca="false">IF(A68="",1,IFERROR(IF(N(INDEX(Meals!$B$6:$B$65,MATCH(A68,Meals!$A$6:$A$65,0)))&gt;0,Week!$B$3/INDEX(Meals!$B$6:$B$65,MATCH(A68,Meals!$A$6:$A$65,0)),1),1))</f>
        <v>1</v>
      </c>
      <c r="H68" s="19" t="n">
        <f aca="false">IF(OR(B68="",F68=0),0,N(C68)*F68*G68)</f>
        <v>0</v>
      </c>
      <c r="I68" s="20" t="str">
        <f aca="false">IF(B68="","",LOWER(TRIM(B68))&amp;" | "&amp;LOWER(TRIM(D68)))</f>
        <v/>
      </c>
      <c r="J68" s="18" t="str">
        <f aca="false">IF(H68&lt;=0,"",IF(COUNTIFS(I$5:I67,I68,H$5:H67,"&gt;0")=0,IFERROR(MATCH(E68,Lists!$A$2:$A$8,0),7)*10000+ROW(),""))</f>
        <v/>
      </c>
    </row>
    <row r="69" customFormat="false" ht="15" hidden="false" customHeight="false" outlineLevel="0" collapsed="false">
      <c r="A69" s="10"/>
      <c r="B69" s="10"/>
      <c r="C69" s="17"/>
      <c r="D69" s="10"/>
      <c r="E69" s="10"/>
      <c r="F69" s="18" t="n">
        <f aca="false">IF(A69="",0,COUNTIF(Week!$B$6:$E$12,A69))</f>
        <v>0</v>
      </c>
      <c r="G69" s="19" t="n">
        <f aca="false">IF(A69="",1,IFERROR(IF(N(INDEX(Meals!$B$6:$B$65,MATCH(A69,Meals!$A$6:$A$65,0)))&gt;0,Week!$B$3/INDEX(Meals!$B$6:$B$65,MATCH(A69,Meals!$A$6:$A$65,0)),1),1))</f>
        <v>1</v>
      </c>
      <c r="H69" s="19" t="n">
        <f aca="false">IF(OR(B69="",F69=0),0,N(C69)*F69*G69)</f>
        <v>0</v>
      </c>
      <c r="I69" s="20" t="str">
        <f aca="false">IF(B69="","",LOWER(TRIM(B69))&amp;" | "&amp;LOWER(TRIM(D69)))</f>
        <v/>
      </c>
      <c r="J69" s="18" t="str">
        <f aca="false">IF(H69&lt;=0,"",IF(COUNTIFS(I$5:I68,I69,H$5:H68,"&gt;0")=0,IFERROR(MATCH(E69,Lists!$A$2:$A$8,0),7)*10000+ROW(),""))</f>
        <v/>
      </c>
    </row>
    <row r="70" customFormat="false" ht="15" hidden="false" customHeight="false" outlineLevel="0" collapsed="false">
      <c r="A70" s="10"/>
      <c r="B70" s="10"/>
      <c r="C70" s="17"/>
      <c r="D70" s="10"/>
      <c r="E70" s="10"/>
      <c r="F70" s="18" t="n">
        <f aca="false">IF(A70="",0,COUNTIF(Week!$B$6:$E$12,A70))</f>
        <v>0</v>
      </c>
      <c r="G70" s="19" t="n">
        <f aca="false">IF(A70="",1,IFERROR(IF(N(INDEX(Meals!$B$6:$B$65,MATCH(A70,Meals!$A$6:$A$65,0)))&gt;0,Week!$B$3/INDEX(Meals!$B$6:$B$65,MATCH(A70,Meals!$A$6:$A$65,0)),1),1))</f>
        <v>1</v>
      </c>
      <c r="H70" s="19" t="n">
        <f aca="false">IF(OR(B70="",F70=0),0,N(C70)*F70*G70)</f>
        <v>0</v>
      </c>
      <c r="I70" s="20" t="str">
        <f aca="false">IF(B70="","",LOWER(TRIM(B70))&amp;" | "&amp;LOWER(TRIM(D70)))</f>
        <v/>
      </c>
      <c r="J70" s="18" t="str">
        <f aca="false">IF(H70&lt;=0,"",IF(COUNTIFS(I$5:I69,I70,H$5:H69,"&gt;0")=0,IFERROR(MATCH(E70,Lists!$A$2:$A$8,0),7)*10000+ROW(),""))</f>
        <v/>
      </c>
    </row>
    <row r="71" customFormat="false" ht="15" hidden="false" customHeight="false" outlineLevel="0" collapsed="false">
      <c r="A71" s="10"/>
      <c r="B71" s="10"/>
      <c r="C71" s="17"/>
      <c r="D71" s="10"/>
      <c r="E71" s="10"/>
      <c r="F71" s="18" t="n">
        <f aca="false">IF(A71="",0,COUNTIF(Week!$B$6:$E$12,A71))</f>
        <v>0</v>
      </c>
      <c r="G71" s="19" t="n">
        <f aca="false">IF(A71="",1,IFERROR(IF(N(INDEX(Meals!$B$6:$B$65,MATCH(A71,Meals!$A$6:$A$65,0)))&gt;0,Week!$B$3/INDEX(Meals!$B$6:$B$65,MATCH(A71,Meals!$A$6:$A$65,0)),1),1))</f>
        <v>1</v>
      </c>
      <c r="H71" s="19" t="n">
        <f aca="false">IF(OR(B71="",F71=0),0,N(C71)*F71*G71)</f>
        <v>0</v>
      </c>
      <c r="I71" s="20" t="str">
        <f aca="false">IF(B71="","",LOWER(TRIM(B71))&amp;" | "&amp;LOWER(TRIM(D71)))</f>
        <v/>
      </c>
      <c r="J71" s="18" t="str">
        <f aca="false">IF(H71&lt;=0,"",IF(COUNTIFS(I$5:I70,I71,H$5:H70,"&gt;0")=0,IFERROR(MATCH(E71,Lists!$A$2:$A$8,0),7)*10000+ROW(),""))</f>
        <v/>
      </c>
    </row>
    <row r="72" customFormat="false" ht="15" hidden="false" customHeight="false" outlineLevel="0" collapsed="false">
      <c r="A72" s="10"/>
      <c r="B72" s="10"/>
      <c r="C72" s="17"/>
      <c r="D72" s="10"/>
      <c r="E72" s="10"/>
      <c r="F72" s="18" t="n">
        <f aca="false">IF(A72="",0,COUNTIF(Week!$B$6:$E$12,A72))</f>
        <v>0</v>
      </c>
      <c r="G72" s="19" t="n">
        <f aca="false">IF(A72="",1,IFERROR(IF(N(INDEX(Meals!$B$6:$B$65,MATCH(A72,Meals!$A$6:$A$65,0)))&gt;0,Week!$B$3/INDEX(Meals!$B$6:$B$65,MATCH(A72,Meals!$A$6:$A$65,0)),1),1))</f>
        <v>1</v>
      </c>
      <c r="H72" s="19" t="n">
        <f aca="false">IF(OR(B72="",F72=0),0,N(C72)*F72*G72)</f>
        <v>0</v>
      </c>
      <c r="I72" s="20" t="str">
        <f aca="false">IF(B72="","",LOWER(TRIM(B72))&amp;" | "&amp;LOWER(TRIM(D72)))</f>
        <v/>
      </c>
      <c r="J72" s="18" t="str">
        <f aca="false">IF(H72&lt;=0,"",IF(COUNTIFS(I$5:I71,I72,H$5:H71,"&gt;0")=0,IFERROR(MATCH(E72,Lists!$A$2:$A$8,0),7)*10000+ROW(),""))</f>
        <v/>
      </c>
    </row>
    <row r="73" customFormat="false" ht="15" hidden="false" customHeight="false" outlineLevel="0" collapsed="false">
      <c r="A73" s="10"/>
      <c r="B73" s="10"/>
      <c r="C73" s="17"/>
      <c r="D73" s="10"/>
      <c r="E73" s="10"/>
      <c r="F73" s="18" t="n">
        <f aca="false">IF(A73="",0,COUNTIF(Week!$B$6:$E$12,A73))</f>
        <v>0</v>
      </c>
      <c r="G73" s="19" t="n">
        <f aca="false">IF(A73="",1,IFERROR(IF(N(INDEX(Meals!$B$6:$B$65,MATCH(A73,Meals!$A$6:$A$65,0)))&gt;0,Week!$B$3/INDEX(Meals!$B$6:$B$65,MATCH(A73,Meals!$A$6:$A$65,0)),1),1))</f>
        <v>1</v>
      </c>
      <c r="H73" s="19" t="n">
        <f aca="false">IF(OR(B73="",F73=0),0,N(C73)*F73*G73)</f>
        <v>0</v>
      </c>
      <c r="I73" s="20" t="str">
        <f aca="false">IF(B73="","",LOWER(TRIM(B73))&amp;" | "&amp;LOWER(TRIM(D73)))</f>
        <v/>
      </c>
      <c r="J73" s="18" t="str">
        <f aca="false">IF(H73&lt;=0,"",IF(COUNTIFS(I$5:I72,I73,H$5:H72,"&gt;0")=0,IFERROR(MATCH(E73,Lists!$A$2:$A$8,0),7)*10000+ROW(),""))</f>
        <v/>
      </c>
    </row>
    <row r="74" customFormat="false" ht="15" hidden="false" customHeight="false" outlineLevel="0" collapsed="false">
      <c r="A74" s="10"/>
      <c r="B74" s="10"/>
      <c r="C74" s="17"/>
      <c r="D74" s="10"/>
      <c r="E74" s="10"/>
      <c r="F74" s="18" t="n">
        <f aca="false">IF(A74="",0,COUNTIF(Week!$B$6:$E$12,A74))</f>
        <v>0</v>
      </c>
      <c r="G74" s="19" t="n">
        <f aca="false">IF(A74="",1,IFERROR(IF(N(INDEX(Meals!$B$6:$B$65,MATCH(A74,Meals!$A$6:$A$65,0)))&gt;0,Week!$B$3/INDEX(Meals!$B$6:$B$65,MATCH(A74,Meals!$A$6:$A$65,0)),1),1))</f>
        <v>1</v>
      </c>
      <c r="H74" s="19" t="n">
        <f aca="false">IF(OR(B74="",F74=0),0,N(C74)*F74*G74)</f>
        <v>0</v>
      </c>
      <c r="I74" s="20" t="str">
        <f aca="false">IF(B74="","",LOWER(TRIM(B74))&amp;" | "&amp;LOWER(TRIM(D74)))</f>
        <v/>
      </c>
      <c r="J74" s="18" t="str">
        <f aca="false">IF(H74&lt;=0,"",IF(COUNTIFS(I$5:I73,I74,H$5:H73,"&gt;0")=0,IFERROR(MATCH(E74,Lists!$A$2:$A$8,0),7)*10000+ROW(),""))</f>
        <v/>
      </c>
    </row>
    <row r="75" customFormat="false" ht="15" hidden="false" customHeight="false" outlineLevel="0" collapsed="false">
      <c r="A75" s="10"/>
      <c r="B75" s="10"/>
      <c r="C75" s="17"/>
      <c r="D75" s="10"/>
      <c r="E75" s="10"/>
      <c r="F75" s="18" t="n">
        <f aca="false">IF(A75="",0,COUNTIF(Week!$B$6:$E$12,A75))</f>
        <v>0</v>
      </c>
      <c r="G75" s="19" t="n">
        <f aca="false">IF(A75="",1,IFERROR(IF(N(INDEX(Meals!$B$6:$B$65,MATCH(A75,Meals!$A$6:$A$65,0)))&gt;0,Week!$B$3/INDEX(Meals!$B$6:$B$65,MATCH(A75,Meals!$A$6:$A$65,0)),1),1))</f>
        <v>1</v>
      </c>
      <c r="H75" s="19" t="n">
        <f aca="false">IF(OR(B75="",F75=0),0,N(C75)*F75*G75)</f>
        <v>0</v>
      </c>
      <c r="I75" s="20" t="str">
        <f aca="false">IF(B75="","",LOWER(TRIM(B75))&amp;" | "&amp;LOWER(TRIM(D75)))</f>
        <v/>
      </c>
      <c r="J75" s="18" t="str">
        <f aca="false">IF(H75&lt;=0,"",IF(COUNTIFS(I$5:I74,I75,H$5:H74,"&gt;0")=0,IFERROR(MATCH(E75,Lists!$A$2:$A$8,0),7)*10000+ROW(),""))</f>
        <v/>
      </c>
    </row>
    <row r="76" customFormat="false" ht="15" hidden="false" customHeight="false" outlineLevel="0" collapsed="false">
      <c r="A76" s="10"/>
      <c r="B76" s="10"/>
      <c r="C76" s="17"/>
      <c r="D76" s="10"/>
      <c r="E76" s="10"/>
      <c r="F76" s="18" t="n">
        <f aca="false">IF(A76="",0,COUNTIF(Week!$B$6:$E$12,A76))</f>
        <v>0</v>
      </c>
      <c r="G76" s="19" t="n">
        <f aca="false">IF(A76="",1,IFERROR(IF(N(INDEX(Meals!$B$6:$B$65,MATCH(A76,Meals!$A$6:$A$65,0)))&gt;0,Week!$B$3/INDEX(Meals!$B$6:$B$65,MATCH(A76,Meals!$A$6:$A$65,0)),1),1))</f>
        <v>1</v>
      </c>
      <c r="H76" s="19" t="n">
        <f aca="false">IF(OR(B76="",F76=0),0,N(C76)*F76*G76)</f>
        <v>0</v>
      </c>
      <c r="I76" s="20" t="str">
        <f aca="false">IF(B76="","",LOWER(TRIM(B76))&amp;" | "&amp;LOWER(TRIM(D76)))</f>
        <v/>
      </c>
      <c r="J76" s="18" t="str">
        <f aca="false">IF(H76&lt;=0,"",IF(COUNTIFS(I$5:I75,I76,H$5:H75,"&gt;0")=0,IFERROR(MATCH(E76,Lists!$A$2:$A$8,0),7)*10000+ROW(),""))</f>
        <v/>
      </c>
    </row>
    <row r="77" customFormat="false" ht="15" hidden="false" customHeight="false" outlineLevel="0" collapsed="false">
      <c r="A77" s="10"/>
      <c r="B77" s="10"/>
      <c r="C77" s="17"/>
      <c r="D77" s="10"/>
      <c r="E77" s="10"/>
      <c r="F77" s="18" t="n">
        <f aca="false">IF(A77="",0,COUNTIF(Week!$B$6:$E$12,A77))</f>
        <v>0</v>
      </c>
      <c r="G77" s="19" t="n">
        <f aca="false">IF(A77="",1,IFERROR(IF(N(INDEX(Meals!$B$6:$B$65,MATCH(A77,Meals!$A$6:$A$65,0)))&gt;0,Week!$B$3/INDEX(Meals!$B$6:$B$65,MATCH(A77,Meals!$A$6:$A$65,0)),1),1))</f>
        <v>1</v>
      </c>
      <c r="H77" s="19" t="n">
        <f aca="false">IF(OR(B77="",F77=0),0,N(C77)*F77*G77)</f>
        <v>0</v>
      </c>
      <c r="I77" s="20" t="str">
        <f aca="false">IF(B77="","",LOWER(TRIM(B77))&amp;" | "&amp;LOWER(TRIM(D77)))</f>
        <v/>
      </c>
      <c r="J77" s="18" t="str">
        <f aca="false">IF(H77&lt;=0,"",IF(COUNTIFS(I$5:I76,I77,H$5:H76,"&gt;0")=0,IFERROR(MATCH(E77,Lists!$A$2:$A$8,0),7)*10000+ROW(),""))</f>
        <v/>
      </c>
    </row>
    <row r="78" customFormat="false" ht="15" hidden="false" customHeight="false" outlineLevel="0" collapsed="false">
      <c r="A78" s="10"/>
      <c r="B78" s="10"/>
      <c r="C78" s="17"/>
      <c r="D78" s="10"/>
      <c r="E78" s="10"/>
      <c r="F78" s="18" t="n">
        <f aca="false">IF(A78="",0,COUNTIF(Week!$B$6:$E$12,A78))</f>
        <v>0</v>
      </c>
      <c r="G78" s="19" t="n">
        <f aca="false">IF(A78="",1,IFERROR(IF(N(INDEX(Meals!$B$6:$B$65,MATCH(A78,Meals!$A$6:$A$65,0)))&gt;0,Week!$B$3/INDEX(Meals!$B$6:$B$65,MATCH(A78,Meals!$A$6:$A$65,0)),1),1))</f>
        <v>1</v>
      </c>
      <c r="H78" s="19" t="n">
        <f aca="false">IF(OR(B78="",F78=0),0,N(C78)*F78*G78)</f>
        <v>0</v>
      </c>
      <c r="I78" s="20" t="str">
        <f aca="false">IF(B78="","",LOWER(TRIM(B78))&amp;" | "&amp;LOWER(TRIM(D78)))</f>
        <v/>
      </c>
      <c r="J78" s="18" t="str">
        <f aca="false">IF(H78&lt;=0,"",IF(COUNTIFS(I$5:I77,I78,H$5:H77,"&gt;0")=0,IFERROR(MATCH(E78,Lists!$A$2:$A$8,0),7)*10000+ROW(),""))</f>
        <v/>
      </c>
    </row>
    <row r="79" customFormat="false" ht="15" hidden="false" customHeight="false" outlineLevel="0" collapsed="false">
      <c r="A79" s="10"/>
      <c r="B79" s="10"/>
      <c r="C79" s="17"/>
      <c r="D79" s="10"/>
      <c r="E79" s="10"/>
      <c r="F79" s="18" t="n">
        <f aca="false">IF(A79="",0,COUNTIF(Week!$B$6:$E$12,A79))</f>
        <v>0</v>
      </c>
      <c r="G79" s="19" t="n">
        <f aca="false">IF(A79="",1,IFERROR(IF(N(INDEX(Meals!$B$6:$B$65,MATCH(A79,Meals!$A$6:$A$65,0)))&gt;0,Week!$B$3/INDEX(Meals!$B$6:$B$65,MATCH(A79,Meals!$A$6:$A$65,0)),1),1))</f>
        <v>1</v>
      </c>
      <c r="H79" s="19" t="n">
        <f aca="false">IF(OR(B79="",F79=0),0,N(C79)*F79*G79)</f>
        <v>0</v>
      </c>
      <c r="I79" s="20" t="str">
        <f aca="false">IF(B79="","",LOWER(TRIM(B79))&amp;" | "&amp;LOWER(TRIM(D79)))</f>
        <v/>
      </c>
      <c r="J79" s="18" t="str">
        <f aca="false">IF(H79&lt;=0,"",IF(COUNTIFS(I$5:I78,I79,H$5:H78,"&gt;0")=0,IFERROR(MATCH(E79,Lists!$A$2:$A$8,0),7)*10000+ROW(),""))</f>
        <v/>
      </c>
    </row>
    <row r="80" customFormat="false" ht="15" hidden="false" customHeight="false" outlineLevel="0" collapsed="false">
      <c r="A80" s="10"/>
      <c r="B80" s="10"/>
      <c r="C80" s="17"/>
      <c r="D80" s="10"/>
      <c r="E80" s="10"/>
      <c r="F80" s="18" t="n">
        <f aca="false">IF(A80="",0,COUNTIF(Week!$B$6:$E$12,A80))</f>
        <v>0</v>
      </c>
      <c r="G80" s="19" t="n">
        <f aca="false">IF(A80="",1,IFERROR(IF(N(INDEX(Meals!$B$6:$B$65,MATCH(A80,Meals!$A$6:$A$65,0)))&gt;0,Week!$B$3/INDEX(Meals!$B$6:$B$65,MATCH(A80,Meals!$A$6:$A$65,0)),1),1))</f>
        <v>1</v>
      </c>
      <c r="H80" s="19" t="n">
        <f aca="false">IF(OR(B80="",F80=0),0,N(C80)*F80*G80)</f>
        <v>0</v>
      </c>
      <c r="I80" s="20" t="str">
        <f aca="false">IF(B80="","",LOWER(TRIM(B80))&amp;" | "&amp;LOWER(TRIM(D80)))</f>
        <v/>
      </c>
      <c r="J80" s="18" t="str">
        <f aca="false">IF(H80&lt;=0,"",IF(COUNTIFS(I$5:I79,I80,H$5:H79,"&gt;0")=0,IFERROR(MATCH(E80,Lists!$A$2:$A$8,0),7)*10000+ROW(),""))</f>
        <v/>
      </c>
    </row>
    <row r="81" customFormat="false" ht="15" hidden="false" customHeight="false" outlineLevel="0" collapsed="false">
      <c r="A81" s="10"/>
      <c r="B81" s="10"/>
      <c r="C81" s="17"/>
      <c r="D81" s="10"/>
      <c r="E81" s="10"/>
      <c r="F81" s="18" t="n">
        <f aca="false">IF(A81="",0,COUNTIF(Week!$B$6:$E$12,A81))</f>
        <v>0</v>
      </c>
      <c r="G81" s="19" t="n">
        <f aca="false">IF(A81="",1,IFERROR(IF(N(INDEX(Meals!$B$6:$B$65,MATCH(A81,Meals!$A$6:$A$65,0)))&gt;0,Week!$B$3/INDEX(Meals!$B$6:$B$65,MATCH(A81,Meals!$A$6:$A$65,0)),1),1))</f>
        <v>1</v>
      </c>
      <c r="H81" s="19" t="n">
        <f aca="false">IF(OR(B81="",F81=0),0,N(C81)*F81*G81)</f>
        <v>0</v>
      </c>
      <c r="I81" s="20" t="str">
        <f aca="false">IF(B81="","",LOWER(TRIM(B81))&amp;" | "&amp;LOWER(TRIM(D81)))</f>
        <v/>
      </c>
      <c r="J81" s="18" t="str">
        <f aca="false">IF(H81&lt;=0,"",IF(COUNTIFS(I$5:I80,I81,H$5:H80,"&gt;0")=0,IFERROR(MATCH(E81,Lists!$A$2:$A$8,0),7)*10000+ROW(),""))</f>
        <v/>
      </c>
    </row>
    <row r="82" customFormat="false" ht="15" hidden="false" customHeight="false" outlineLevel="0" collapsed="false">
      <c r="A82" s="10"/>
      <c r="B82" s="10"/>
      <c r="C82" s="17"/>
      <c r="D82" s="10"/>
      <c r="E82" s="10"/>
      <c r="F82" s="18" t="n">
        <f aca="false">IF(A82="",0,COUNTIF(Week!$B$6:$E$12,A82))</f>
        <v>0</v>
      </c>
      <c r="G82" s="19" t="n">
        <f aca="false">IF(A82="",1,IFERROR(IF(N(INDEX(Meals!$B$6:$B$65,MATCH(A82,Meals!$A$6:$A$65,0)))&gt;0,Week!$B$3/INDEX(Meals!$B$6:$B$65,MATCH(A82,Meals!$A$6:$A$65,0)),1),1))</f>
        <v>1</v>
      </c>
      <c r="H82" s="19" t="n">
        <f aca="false">IF(OR(B82="",F82=0),0,N(C82)*F82*G82)</f>
        <v>0</v>
      </c>
      <c r="I82" s="20" t="str">
        <f aca="false">IF(B82="","",LOWER(TRIM(B82))&amp;" | "&amp;LOWER(TRIM(D82)))</f>
        <v/>
      </c>
      <c r="J82" s="18" t="str">
        <f aca="false">IF(H82&lt;=0,"",IF(COUNTIFS(I$5:I81,I82,H$5:H81,"&gt;0")=0,IFERROR(MATCH(E82,Lists!$A$2:$A$8,0),7)*10000+ROW(),""))</f>
        <v/>
      </c>
    </row>
    <row r="83" customFormat="false" ht="15" hidden="false" customHeight="false" outlineLevel="0" collapsed="false">
      <c r="A83" s="10"/>
      <c r="B83" s="10"/>
      <c r="C83" s="17"/>
      <c r="D83" s="10"/>
      <c r="E83" s="10"/>
      <c r="F83" s="18" t="n">
        <f aca="false">IF(A83="",0,COUNTIF(Week!$B$6:$E$12,A83))</f>
        <v>0</v>
      </c>
      <c r="G83" s="19" t="n">
        <f aca="false">IF(A83="",1,IFERROR(IF(N(INDEX(Meals!$B$6:$B$65,MATCH(A83,Meals!$A$6:$A$65,0)))&gt;0,Week!$B$3/INDEX(Meals!$B$6:$B$65,MATCH(A83,Meals!$A$6:$A$65,0)),1),1))</f>
        <v>1</v>
      </c>
      <c r="H83" s="19" t="n">
        <f aca="false">IF(OR(B83="",F83=0),0,N(C83)*F83*G83)</f>
        <v>0</v>
      </c>
      <c r="I83" s="20" t="str">
        <f aca="false">IF(B83="","",LOWER(TRIM(B83))&amp;" | "&amp;LOWER(TRIM(D83)))</f>
        <v/>
      </c>
      <c r="J83" s="18" t="str">
        <f aca="false">IF(H83&lt;=0,"",IF(COUNTIFS(I$5:I82,I83,H$5:H82,"&gt;0")=0,IFERROR(MATCH(E83,Lists!$A$2:$A$8,0),7)*10000+ROW(),""))</f>
        <v/>
      </c>
    </row>
    <row r="84" customFormat="false" ht="15" hidden="false" customHeight="false" outlineLevel="0" collapsed="false">
      <c r="A84" s="10"/>
      <c r="B84" s="10"/>
      <c r="C84" s="17"/>
      <c r="D84" s="10"/>
      <c r="E84" s="10"/>
      <c r="F84" s="18" t="n">
        <f aca="false">IF(A84="",0,COUNTIF(Week!$B$6:$E$12,A84))</f>
        <v>0</v>
      </c>
      <c r="G84" s="19" t="n">
        <f aca="false">IF(A84="",1,IFERROR(IF(N(INDEX(Meals!$B$6:$B$65,MATCH(A84,Meals!$A$6:$A$65,0)))&gt;0,Week!$B$3/INDEX(Meals!$B$6:$B$65,MATCH(A84,Meals!$A$6:$A$65,0)),1),1))</f>
        <v>1</v>
      </c>
      <c r="H84" s="19" t="n">
        <f aca="false">IF(OR(B84="",F84=0),0,N(C84)*F84*G84)</f>
        <v>0</v>
      </c>
      <c r="I84" s="20" t="str">
        <f aca="false">IF(B84="","",LOWER(TRIM(B84))&amp;" | "&amp;LOWER(TRIM(D84)))</f>
        <v/>
      </c>
      <c r="J84" s="18" t="str">
        <f aca="false">IF(H84&lt;=0,"",IF(COUNTIFS(I$5:I83,I84,H$5:H83,"&gt;0")=0,IFERROR(MATCH(E84,Lists!$A$2:$A$8,0),7)*10000+ROW(),""))</f>
        <v/>
      </c>
    </row>
    <row r="85" customFormat="false" ht="15" hidden="false" customHeight="false" outlineLevel="0" collapsed="false">
      <c r="A85" s="10"/>
      <c r="B85" s="10"/>
      <c r="C85" s="17"/>
      <c r="D85" s="10"/>
      <c r="E85" s="10"/>
      <c r="F85" s="18" t="n">
        <f aca="false">IF(A85="",0,COUNTIF(Week!$B$6:$E$12,A85))</f>
        <v>0</v>
      </c>
      <c r="G85" s="19" t="n">
        <f aca="false">IF(A85="",1,IFERROR(IF(N(INDEX(Meals!$B$6:$B$65,MATCH(A85,Meals!$A$6:$A$65,0)))&gt;0,Week!$B$3/INDEX(Meals!$B$6:$B$65,MATCH(A85,Meals!$A$6:$A$65,0)),1),1))</f>
        <v>1</v>
      </c>
      <c r="H85" s="19" t="n">
        <f aca="false">IF(OR(B85="",F85=0),0,N(C85)*F85*G85)</f>
        <v>0</v>
      </c>
      <c r="I85" s="20" t="str">
        <f aca="false">IF(B85="","",LOWER(TRIM(B85))&amp;" | "&amp;LOWER(TRIM(D85)))</f>
        <v/>
      </c>
      <c r="J85" s="18" t="str">
        <f aca="false">IF(H85&lt;=0,"",IF(COUNTIFS(I$5:I84,I85,H$5:H84,"&gt;0")=0,IFERROR(MATCH(E85,Lists!$A$2:$A$8,0),7)*10000+ROW(),""))</f>
        <v/>
      </c>
    </row>
    <row r="86" customFormat="false" ht="15" hidden="false" customHeight="false" outlineLevel="0" collapsed="false">
      <c r="A86" s="10"/>
      <c r="B86" s="10"/>
      <c r="C86" s="17"/>
      <c r="D86" s="10"/>
      <c r="E86" s="10"/>
      <c r="F86" s="18" t="n">
        <f aca="false">IF(A86="",0,COUNTIF(Week!$B$6:$E$12,A86))</f>
        <v>0</v>
      </c>
      <c r="G86" s="19" t="n">
        <f aca="false">IF(A86="",1,IFERROR(IF(N(INDEX(Meals!$B$6:$B$65,MATCH(A86,Meals!$A$6:$A$65,0)))&gt;0,Week!$B$3/INDEX(Meals!$B$6:$B$65,MATCH(A86,Meals!$A$6:$A$65,0)),1),1))</f>
        <v>1</v>
      </c>
      <c r="H86" s="19" t="n">
        <f aca="false">IF(OR(B86="",F86=0),0,N(C86)*F86*G86)</f>
        <v>0</v>
      </c>
      <c r="I86" s="20" t="str">
        <f aca="false">IF(B86="","",LOWER(TRIM(B86))&amp;" | "&amp;LOWER(TRIM(D86)))</f>
        <v/>
      </c>
      <c r="J86" s="18" t="str">
        <f aca="false">IF(H86&lt;=0,"",IF(COUNTIFS(I$5:I85,I86,H$5:H85,"&gt;0")=0,IFERROR(MATCH(E86,Lists!$A$2:$A$8,0),7)*10000+ROW(),""))</f>
        <v/>
      </c>
    </row>
    <row r="87" customFormat="false" ht="15" hidden="false" customHeight="false" outlineLevel="0" collapsed="false">
      <c r="A87" s="10"/>
      <c r="B87" s="10"/>
      <c r="C87" s="17"/>
      <c r="D87" s="10"/>
      <c r="E87" s="10"/>
      <c r="F87" s="18" t="n">
        <f aca="false">IF(A87="",0,COUNTIF(Week!$B$6:$E$12,A87))</f>
        <v>0</v>
      </c>
      <c r="G87" s="19" t="n">
        <f aca="false">IF(A87="",1,IFERROR(IF(N(INDEX(Meals!$B$6:$B$65,MATCH(A87,Meals!$A$6:$A$65,0)))&gt;0,Week!$B$3/INDEX(Meals!$B$6:$B$65,MATCH(A87,Meals!$A$6:$A$65,0)),1),1))</f>
        <v>1</v>
      </c>
      <c r="H87" s="19" t="n">
        <f aca="false">IF(OR(B87="",F87=0),0,N(C87)*F87*G87)</f>
        <v>0</v>
      </c>
      <c r="I87" s="20" t="str">
        <f aca="false">IF(B87="","",LOWER(TRIM(B87))&amp;" | "&amp;LOWER(TRIM(D87)))</f>
        <v/>
      </c>
      <c r="J87" s="18" t="str">
        <f aca="false">IF(H87&lt;=0,"",IF(COUNTIFS(I$5:I86,I87,H$5:H86,"&gt;0")=0,IFERROR(MATCH(E87,Lists!$A$2:$A$8,0),7)*10000+ROW(),""))</f>
        <v/>
      </c>
    </row>
    <row r="88" customFormat="false" ht="15" hidden="false" customHeight="false" outlineLevel="0" collapsed="false">
      <c r="A88" s="10"/>
      <c r="B88" s="10"/>
      <c r="C88" s="17"/>
      <c r="D88" s="10"/>
      <c r="E88" s="10"/>
      <c r="F88" s="18" t="n">
        <f aca="false">IF(A88="",0,COUNTIF(Week!$B$6:$E$12,A88))</f>
        <v>0</v>
      </c>
      <c r="G88" s="19" t="n">
        <f aca="false">IF(A88="",1,IFERROR(IF(N(INDEX(Meals!$B$6:$B$65,MATCH(A88,Meals!$A$6:$A$65,0)))&gt;0,Week!$B$3/INDEX(Meals!$B$6:$B$65,MATCH(A88,Meals!$A$6:$A$65,0)),1),1))</f>
        <v>1</v>
      </c>
      <c r="H88" s="19" t="n">
        <f aca="false">IF(OR(B88="",F88=0),0,N(C88)*F88*G88)</f>
        <v>0</v>
      </c>
      <c r="I88" s="20" t="str">
        <f aca="false">IF(B88="","",LOWER(TRIM(B88))&amp;" | "&amp;LOWER(TRIM(D88)))</f>
        <v/>
      </c>
      <c r="J88" s="18" t="str">
        <f aca="false">IF(H88&lt;=0,"",IF(COUNTIFS(I$5:I87,I88,H$5:H87,"&gt;0")=0,IFERROR(MATCH(E88,Lists!$A$2:$A$8,0),7)*10000+ROW(),""))</f>
        <v/>
      </c>
    </row>
    <row r="89" customFormat="false" ht="15" hidden="false" customHeight="false" outlineLevel="0" collapsed="false">
      <c r="A89" s="10"/>
      <c r="B89" s="10"/>
      <c r="C89" s="17"/>
      <c r="D89" s="10"/>
      <c r="E89" s="10"/>
      <c r="F89" s="18" t="n">
        <f aca="false">IF(A89="",0,COUNTIF(Week!$B$6:$E$12,A89))</f>
        <v>0</v>
      </c>
      <c r="G89" s="19" t="n">
        <f aca="false">IF(A89="",1,IFERROR(IF(N(INDEX(Meals!$B$6:$B$65,MATCH(A89,Meals!$A$6:$A$65,0)))&gt;0,Week!$B$3/INDEX(Meals!$B$6:$B$65,MATCH(A89,Meals!$A$6:$A$65,0)),1),1))</f>
        <v>1</v>
      </c>
      <c r="H89" s="19" t="n">
        <f aca="false">IF(OR(B89="",F89=0),0,N(C89)*F89*G89)</f>
        <v>0</v>
      </c>
      <c r="I89" s="20" t="str">
        <f aca="false">IF(B89="","",LOWER(TRIM(B89))&amp;" | "&amp;LOWER(TRIM(D89)))</f>
        <v/>
      </c>
      <c r="J89" s="18" t="str">
        <f aca="false">IF(H89&lt;=0,"",IF(COUNTIFS(I$5:I88,I89,H$5:H88,"&gt;0")=0,IFERROR(MATCH(E89,Lists!$A$2:$A$8,0),7)*10000+ROW(),""))</f>
        <v/>
      </c>
    </row>
    <row r="90" customFormat="false" ht="15" hidden="false" customHeight="false" outlineLevel="0" collapsed="false">
      <c r="A90" s="10"/>
      <c r="B90" s="10"/>
      <c r="C90" s="17"/>
      <c r="D90" s="10"/>
      <c r="E90" s="10"/>
      <c r="F90" s="18" t="n">
        <f aca="false">IF(A90="",0,COUNTIF(Week!$B$6:$E$12,A90))</f>
        <v>0</v>
      </c>
      <c r="G90" s="19" t="n">
        <f aca="false">IF(A90="",1,IFERROR(IF(N(INDEX(Meals!$B$6:$B$65,MATCH(A90,Meals!$A$6:$A$65,0)))&gt;0,Week!$B$3/INDEX(Meals!$B$6:$B$65,MATCH(A90,Meals!$A$6:$A$65,0)),1),1))</f>
        <v>1</v>
      </c>
      <c r="H90" s="19" t="n">
        <f aca="false">IF(OR(B90="",F90=0),0,N(C90)*F90*G90)</f>
        <v>0</v>
      </c>
      <c r="I90" s="20" t="str">
        <f aca="false">IF(B90="","",LOWER(TRIM(B90))&amp;" | "&amp;LOWER(TRIM(D90)))</f>
        <v/>
      </c>
      <c r="J90" s="18" t="str">
        <f aca="false">IF(H90&lt;=0,"",IF(COUNTIFS(I$5:I89,I90,H$5:H89,"&gt;0")=0,IFERROR(MATCH(E90,Lists!$A$2:$A$8,0),7)*10000+ROW(),""))</f>
        <v/>
      </c>
    </row>
    <row r="91" customFormat="false" ht="15" hidden="false" customHeight="false" outlineLevel="0" collapsed="false">
      <c r="A91" s="10"/>
      <c r="B91" s="10"/>
      <c r="C91" s="17"/>
      <c r="D91" s="10"/>
      <c r="E91" s="10"/>
      <c r="F91" s="18" t="n">
        <f aca="false">IF(A91="",0,COUNTIF(Week!$B$6:$E$12,A91))</f>
        <v>0</v>
      </c>
      <c r="G91" s="19" t="n">
        <f aca="false">IF(A91="",1,IFERROR(IF(N(INDEX(Meals!$B$6:$B$65,MATCH(A91,Meals!$A$6:$A$65,0)))&gt;0,Week!$B$3/INDEX(Meals!$B$6:$B$65,MATCH(A91,Meals!$A$6:$A$65,0)),1),1))</f>
        <v>1</v>
      </c>
      <c r="H91" s="19" t="n">
        <f aca="false">IF(OR(B91="",F91=0),0,N(C91)*F91*G91)</f>
        <v>0</v>
      </c>
      <c r="I91" s="20" t="str">
        <f aca="false">IF(B91="","",LOWER(TRIM(B91))&amp;" | "&amp;LOWER(TRIM(D91)))</f>
        <v/>
      </c>
      <c r="J91" s="18" t="str">
        <f aca="false">IF(H91&lt;=0,"",IF(COUNTIFS(I$5:I90,I91,H$5:H90,"&gt;0")=0,IFERROR(MATCH(E91,Lists!$A$2:$A$8,0),7)*10000+ROW(),""))</f>
        <v/>
      </c>
    </row>
    <row r="92" customFormat="false" ht="15" hidden="false" customHeight="false" outlineLevel="0" collapsed="false">
      <c r="A92" s="10"/>
      <c r="B92" s="10"/>
      <c r="C92" s="17"/>
      <c r="D92" s="10"/>
      <c r="E92" s="10"/>
      <c r="F92" s="18" t="n">
        <f aca="false">IF(A92="",0,COUNTIF(Week!$B$6:$E$12,A92))</f>
        <v>0</v>
      </c>
      <c r="G92" s="19" t="n">
        <f aca="false">IF(A92="",1,IFERROR(IF(N(INDEX(Meals!$B$6:$B$65,MATCH(A92,Meals!$A$6:$A$65,0)))&gt;0,Week!$B$3/INDEX(Meals!$B$6:$B$65,MATCH(A92,Meals!$A$6:$A$65,0)),1),1))</f>
        <v>1</v>
      </c>
      <c r="H92" s="19" t="n">
        <f aca="false">IF(OR(B92="",F92=0),0,N(C92)*F92*G92)</f>
        <v>0</v>
      </c>
      <c r="I92" s="20" t="str">
        <f aca="false">IF(B92="","",LOWER(TRIM(B92))&amp;" | "&amp;LOWER(TRIM(D92)))</f>
        <v/>
      </c>
      <c r="J92" s="18" t="str">
        <f aca="false">IF(H92&lt;=0,"",IF(COUNTIFS(I$5:I91,I92,H$5:H91,"&gt;0")=0,IFERROR(MATCH(E92,Lists!$A$2:$A$8,0),7)*10000+ROW(),""))</f>
        <v/>
      </c>
    </row>
    <row r="93" customFormat="false" ht="15" hidden="false" customHeight="false" outlineLevel="0" collapsed="false">
      <c r="A93" s="10"/>
      <c r="B93" s="10"/>
      <c r="C93" s="17"/>
      <c r="D93" s="10"/>
      <c r="E93" s="10"/>
      <c r="F93" s="18" t="n">
        <f aca="false">IF(A93="",0,COUNTIF(Week!$B$6:$E$12,A93))</f>
        <v>0</v>
      </c>
      <c r="G93" s="19" t="n">
        <f aca="false">IF(A93="",1,IFERROR(IF(N(INDEX(Meals!$B$6:$B$65,MATCH(A93,Meals!$A$6:$A$65,0)))&gt;0,Week!$B$3/INDEX(Meals!$B$6:$B$65,MATCH(A93,Meals!$A$6:$A$65,0)),1),1))</f>
        <v>1</v>
      </c>
      <c r="H93" s="19" t="n">
        <f aca="false">IF(OR(B93="",F93=0),0,N(C93)*F93*G93)</f>
        <v>0</v>
      </c>
      <c r="I93" s="20" t="str">
        <f aca="false">IF(B93="","",LOWER(TRIM(B93))&amp;" | "&amp;LOWER(TRIM(D93)))</f>
        <v/>
      </c>
      <c r="J93" s="18" t="str">
        <f aca="false">IF(H93&lt;=0,"",IF(COUNTIFS(I$5:I92,I93,H$5:H92,"&gt;0")=0,IFERROR(MATCH(E93,Lists!$A$2:$A$8,0),7)*10000+ROW(),""))</f>
        <v/>
      </c>
    </row>
    <row r="94" customFormat="false" ht="15" hidden="false" customHeight="false" outlineLevel="0" collapsed="false">
      <c r="A94" s="10"/>
      <c r="B94" s="10"/>
      <c r="C94" s="17"/>
      <c r="D94" s="10"/>
      <c r="E94" s="10"/>
      <c r="F94" s="18" t="n">
        <f aca="false">IF(A94="",0,COUNTIF(Week!$B$6:$E$12,A94))</f>
        <v>0</v>
      </c>
      <c r="G94" s="19" t="n">
        <f aca="false">IF(A94="",1,IFERROR(IF(N(INDEX(Meals!$B$6:$B$65,MATCH(A94,Meals!$A$6:$A$65,0)))&gt;0,Week!$B$3/INDEX(Meals!$B$6:$B$65,MATCH(A94,Meals!$A$6:$A$65,0)),1),1))</f>
        <v>1</v>
      </c>
      <c r="H94" s="19" t="n">
        <f aca="false">IF(OR(B94="",F94=0),0,N(C94)*F94*G94)</f>
        <v>0</v>
      </c>
      <c r="I94" s="20" t="str">
        <f aca="false">IF(B94="","",LOWER(TRIM(B94))&amp;" | "&amp;LOWER(TRIM(D94)))</f>
        <v/>
      </c>
      <c r="J94" s="18" t="str">
        <f aca="false">IF(H94&lt;=0,"",IF(COUNTIFS(I$5:I93,I94,H$5:H93,"&gt;0")=0,IFERROR(MATCH(E94,Lists!$A$2:$A$8,0),7)*10000+ROW(),""))</f>
        <v/>
      </c>
    </row>
    <row r="95" customFormat="false" ht="15" hidden="false" customHeight="false" outlineLevel="0" collapsed="false">
      <c r="A95" s="10"/>
      <c r="B95" s="10"/>
      <c r="C95" s="17"/>
      <c r="D95" s="10"/>
      <c r="E95" s="10"/>
      <c r="F95" s="18" t="n">
        <f aca="false">IF(A95="",0,COUNTIF(Week!$B$6:$E$12,A95))</f>
        <v>0</v>
      </c>
      <c r="G95" s="19" t="n">
        <f aca="false">IF(A95="",1,IFERROR(IF(N(INDEX(Meals!$B$6:$B$65,MATCH(A95,Meals!$A$6:$A$65,0)))&gt;0,Week!$B$3/INDEX(Meals!$B$6:$B$65,MATCH(A95,Meals!$A$6:$A$65,0)),1),1))</f>
        <v>1</v>
      </c>
      <c r="H95" s="19" t="n">
        <f aca="false">IF(OR(B95="",F95=0),0,N(C95)*F95*G95)</f>
        <v>0</v>
      </c>
      <c r="I95" s="20" t="str">
        <f aca="false">IF(B95="","",LOWER(TRIM(B95))&amp;" | "&amp;LOWER(TRIM(D95)))</f>
        <v/>
      </c>
      <c r="J95" s="18" t="str">
        <f aca="false">IF(H95&lt;=0,"",IF(COUNTIFS(I$5:I94,I95,H$5:H94,"&gt;0")=0,IFERROR(MATCH(E95,Lists!$A$2:$A$8,0),7)*10000+ROW(),""))</f>
        <v/>
      </c>
    </row>
    <row r="96" customFormat="false" ht="15" hidden="false" customHeight="false" outlineLevel="0" collapsed="false">
      <c r="A96" s="10"/>
      <c r="B96" s="10"/>
      <c r="C96" s="17"/>
      <c r="D96" s="10"/>
      <c r="E96" s="10"/>
      <c r="F96" s="18" t="n">
        <f aca="false">IF(A96="",0,COUNTIF(Week!$B$6:$E$12,A96))</f>
        <v>0</v>
      </c>
      <c r="G96" s="19" t="n">
        <f aca="false">IF(A96="",1,IFERROR(IF(N(INDEX(Meals!$B$6:$B$65,MATCH(A96,Meals!$A$6:$A$65,0)))&gt;0,Week!$B$3/INDEX(Meals!$B$6:$B$65,MATCH(A96,Meals!$A$6:$A$65,0)),1),1))</f>
        <v>1</v>
      </c>
      <c r="H96" s="19" t="n">
        <f aca="false">IF(OR(B96="",F96=0),0,N(C96)*F96*G96)</f>
        <v>0</v>
      </c>
      <c r="I96" s="20" t="str">
        <f aca="false">IF(B96="","",LOWER(TRIM(B96))&amp;" | "&amp;LOWER(TRIM(D96)))</f>
        <v/>
      </c>
      <c r="J96" s="18" t="str">
        <f aca="false">IF(H96&lt;=0,"",IF(COUNTIFS(I$5:I95,I96,H$5:H95,"&gt;0")=0,IFERROR(MATCH(E96,Lists!$A$2:$A$8,0),7)*10000+ROW(),""))</f>
        <v/>
      </c>
    </row>
    <row r="97" customFormat="false" ht="15" hidden="false" customHeight="false" outlineLevel="0" collapsed="false">
      <c r="A97" s="10"/>
      <c r="B97" s="10"/>
      <c r="C97" s="17"/>
      <c r="D97" s="10"/>
      <c r="E97" s="10"/>
      <c r="F97" s="18" t="n">
        <f aca="false">IF(A97="",0,COUNTIF(Week!$B$6:$E$12,A97))</f>
        <v>0</v>
      </c>
      <c r="G97" s="19" t="n">
        <f aca="false">IF(A97="",1,IFERROR(IF(N(INDEX(Meals!$B$6:$B$65,MATCH(A97,Meals!$A$6:$A$65,0)))&gt;0,Week!$B$3/INDEX(Meals!$B$6:$B$65,MATCH(A97,Meals!$A$6:$A$65,0)),1),1))</f>
        <v>1</v>
      </c>
      <c r="H97" s="19" t="n">
        <f aca="false">IF(OR(B97="",F97=0),0,N(C97)*F97*G97)</f>
        <v>0</v>
      </c>
      <c r="I97" s="20" t="str">
        <f aca="false">IF(B97="","",LOWER(TRIM(B97))&amp;" | "&amp;LOWER(TRIM(D97)))</f>
        <v/>
      </c>
      <c r="J97" s="18" t="str">
        <f aca="false">IF(H97&lt;=0,"",IF(COUNTIFS(I$5:I96,I97,H$5:H96,"&gt;0")=0,IFERROR(MATCH(E97,Lists!$A$2:$A$8,0),7)*10000+ROW(),""))</f>
        <v/>
      </c>
    </row>
    <row r="98" customFormat="false" ht="15" hidden="false" customHeight="false" outlineLevel="0" collapsed="false">
      <c r="A98" s="10"/>
      <c r="B98" s="10"/>
      <c r="C98" s="17"/>
      <c r="D98" s="10"/>
      <c r="E98" s="10"/>
      <c r="F98" s="18" t="n">
        <f aca="false">IF(A98="",0,COUNTIF(Week!$B$6:$E$12,A98))</f>
        <v>0</v>
      </c>
      <c r="G98" s="19" t="n">
        <f aca="false">IF(A98="",1,IFERROR(IF(N(INDEX(Meals!$B$6:$B$65,MATCH(A98,Meals!$A$6:$A$65,0)))&gt;0,Week!$B$3/INDEX(Meals!$B$6:$B$65,MATCH(A98,Meals!$A$6:$A$65,0)),1),1))</f>
        <v>1</v>
      </c>
      <c r="H98" s="19" t="n">
        <f aca="false">IF(OR(B98="",F98=0),0,N(C98)*F98*G98)</f>
        <v>0</v>
      </c>
      <c r="I98" s="20" t="str">
        <f aca="false">IF(B98="","",LOWER(TRIM(B98))&amp;" | "&amp;LOWER(TRIM(D98)))</f>
        <v/>
      </c>
      <c r="J98" s="18" t="str">
        <f aca="false">IF(H98&lt;=0,"",IF(COUNTIFS(I$5:I97,I98,H$5:H97,"&gt;0")=0,IFERROR(MATCH(E98,Lists!$A$2:$A$8,0),7)*10000+ROW(),""))</f>
        <v/>
      </c>
    </row>
    <row r="99" customFormat="false" ht="15" hidden="false" customHeight="false" outlineLevel="0" collapsed="false">
      <c r="A99" s="10"/>
      <c r="B99" s="10"/>
      <c r="C99" s="17"/>
      <c r="D99" s="10"/>
      <c r="E99" s="10"/>
      <c r="F99" s="18" t="n">
        <f aca="false">IF(A99="",0,COUNTIF(Week!$B$6:$E$12,A99))</f>
        <v>0</v>
      </c>
      <c r="G99" s="19" t="n">
        <f aca="false">IF(A99="",1,IFERROR(IF(N(INDEX(Meals!$B$6:$B$65,MATCH(A99,Meals!$A$6:$A$65,0)))&gt;0,Week!$B$3/INDEX(Meals!$B$6:$B$65,MATCH(A99,Meals!$A$6:$A$65,0)),1),1))</f>
        <v>1</v>
      </c>
      <c r="H99" s="19" t="n">
        <f aca="false">IF(OR(B99="",F99=0),0,N(C99)*F99*G99)</f>
        <v>0</v>
      </c>
      <c r="I99" s="20" t="str">
        <f aca="false">IF(B99="","",LOWER(TRIM(B99))&amp;" | "&amp;LOWER(TRIM(D99)))</f>
        <v/>
      </c>
      <c r="J99" s="18" t="str">
        <f aca="false">IF(H99&lt;=0,"",IF(COUNTIFS(I$5:I98,I99,H$5:H98,"&gt;0")=0,IFERROR(MATCH(E99,Lists!$A$2:$A$8,0),7)*10000+ROW(),""))</f>
        <v/>
      </c>
    </row>
    <row r="100" customFormat="false" ht="15" hidden="false" customHeight="false" outlineLevel="0" collapsed="false">
      <c r="A100" s="10"/>
      <c r="B100" s="10"/>
      <c r="C100" s="17"/>
      <c r="D100" s="10"/>
      <c r="E100" s="10"/>
      <c r="F100" s="18" t="n">
        <f aca="false">IF(A100="",0,COUNTIF(Week!$B$6:$E$12,A100))</f>
        <v>0</v>
      </c>
      <c r="G100" s="19" t="n">
        <f aca="false">IF(A100="",1,IFERROR(IF(N(INDEX(Meals!$B$6:$B$65,MATCH(A100,Meals!$A$6:$A$65,0)))&gt;0,Week!$B$3/INDEX(Meals!$B$6:$B$65,MATCH(A100,Meals!$A$6:$A$65,0)),1),1))</f>
        <v>1</v>
      </c>
      <c r="H100" s="19" t="n">
        <f aca="false">IF(OR(B100="",F100=0),0,N(C100)*F100*G100)</f>
        <v>0</v>
      </c>
      <c r="I100" s="20" t="str">
        <f aca="false">IF(B100="","",LOWER(TRIM(B100))&amp;" | "&amp;LOWER(TRIM(D100)))</f>
        <v/>
      </c>
      <c r="J100" s="18" t="str">
        <f aca="false">IF(H100&lt;=0,"",IF(COUNTIFS(I$5:I99,I100,H$5:H99,"&gt;0")=0,IFERROR(MATCH(E100,Lists!$A$2:$A$8,0),7)*10000+ROW(),""))</f>
        <v/>
      </c>
    </row>
    <row r="101" customFormat="false" ht="15" hidden="false" customHeight="false" outlineLevel="0" collapsed="false">
      <c r="A101" s="10"/>
      <c r="B101" s="10"/>
      <c r="C101" s="17"/>
      <c r="D101" s="10"/>
      <c r="E101" s="10"/>
      <c r="F101" s="18" t="n">
        <f aca="false">IF(A101="",0,COUNTIF(Week!$B$6:$E$12,A101))</f>
        <v>0</v>
      </c>
      <c r="G101" s="19" t="n">
        <f aca="false">IF(A101="",1,IFERROR(IF(N(INDEX(Meals!$B$6:$B$65,MATCH(A101,Meals!$A$6:$A$65,0)))&gt;0,Week!$B$3/INDEX(Meals!$B$6:$B$65,MATCH(A101,Meals!$A$6:$A$65,0)),1),1))</f>
        <v>1</v>
      </c>
      <c r="H101" s="19" t="n">
        <f aca="false">IF(OR(B101="",F101=0),0,N(C101)*F101*G101)</f>
        <v>0</v>
      </c>
      <c r="I101" s="20" t="str">
        <f aca="false">IF(B101="","",LOWER(TRIM(B101))&amp;" | "&amp;LOWER(TRIM(D101)))</f>
        <v/>
      </c>
      <c r="J101" s="18" t="str">
        <f aca="false">IF(H101&lt;=0,"",IF(COUNTIFS(I$5:I100,I101,H$5:H100,"&gt;0")=0,IFERROR(MATCH(E101,Lists!$A$2:$A$8,0),7)*10000+ROW(),""))</f>
        <v/>
      </c>
    </row>
    <row r="102" customFormat="false" ht="15" hidden="false" customHeight="false" outlineLevel="0" collapsed="false">
      <c r="A102" s="10"/>
      <c r="B102" s="10"/>
      <c r="C102" s="17"/>
      <c r="D102" s="10"/>
      <c r="E102" s="10"/>
      <c r="F102" s="18" t="n">
        <f aca="false">IF(A102="",0,COUNTIF(Week!$B$6:$E$12,A102))</f>
        <v>0</v>
      </c>
      <c r="G102" s="19" t="n">
        <f aca="false">IF(A102="",1,IFERROR(IF(N(INDEX(Meals!$B$6:$B$65,MATCH(A102,Meals!$A$6:$A$65,0)))&gt;0,Week!$B$3/INDEX(Meals!$B$6:$B$65,MATCH(A102,Meals!$A$6:$A$65,0)),1),1))</f>
        <v>1</v>
      </c>
      <c r="H102" s="19" t="n">
        <f aca="false">IF(OR(B102="",F102=0),0,N(C102)*F102*G102)</f>
        <v>0</v>
      </c>
      <c r="I102" s="20" t="str">
        <f aca="false">IF(B102="","",LOWER(TRIM(B102))&amp;" | "&amp;LOWER(TRIM(D102)))</f>
        <v/>
      </c>
      <c r="J102" s="18" t="str">
        <f aca="false">IF(H102&lt;=0,"",IF(COUNTIFS(I$5:I101,I102,H$5:H101,"&gt;0")=0,IFERROR(MATCH(E102,Lists!$A$2:$A$8,0),7)*10000+ROW(),""))</f>
        <v/>
      </c>
    </row>
    <row r="103" customFormat="false" ht="15" hidden="false" customHeight="false" outlineLevel="0" collapsed="false">
      <c r="A103" s="10"/>
      <c r="B103" s="10"/>
      <c r="C103" s="17"/>
      <c r="D103" s="10"/>
      <c r="E103" s="10"/>
      <c r="F103" s="18" t="n">
        <f aca="false">IF(A103="",0,COUNTIF(Week!$B$6:$E$12,A103))</f>
        <v>0</v>
      </c>
      <c r="G103" s="19" t="n">
        <f aca="false">IF(A103="",1,IFERROR(IF(N(INDEX(Meals!$B$6:$B$65,MATCH(A103,Meals!$A$6:$A$65,0)))&gt;0,Week!$B$3/INDEX(Meals!$B$6:$B$65,MATCH(A103,Meals!$A$6:$A$65,0)),1),1))</f>
        <v>1</v>
      </c>
      <c r="H103" s="19" t="n">
        <f aca="false">IF(OR(B103="",F103=0),0,N(C103)*F103*G103)</f>
        <v>0</v>
      </c>
      <c r="I103" s="20" t="str">
        <f aca="false">IF(B103="","",LOWER(TRIM(B103))&amp;" | "&amp;LOWER(TRIM(D103)))</f>
        <v/>
      </c>
      <c r="J103" s="18" t="str">
        <f aca="false">IF(H103&lt;=0,"",IF(COUNTIFS(I$5:I102,I103,H$5:H102,"&gt;0")=0,IFERROR(MATCH(E103,Lists!$A$2:$A$8,0),7)*10000+ROW(),""))</f>
        <v/>
      </c>
    </row>
    <row r="104" customFormat="false" ht="15" hidden="false" customHeight="false" outlineLevel="0" collapsed="false">
      <c r="A104" s="10"/>
      <c r="B104" s="10"/>
      <c r="C104" s="17"/>
      <c r="D104" s="10"/>
      <c r="E104" s="10"/>
      <c r="F104" s="18" t="n">
        <f aca="false">IF(A104="",0,COUNTIF(Week!$B$6:$E$12,A104))</f>
        <v>0</v>
      </c>
      <c r="G104" s="19" t="n">
        <f aca="false">IF(A104="",1,IFERROR(IF(N(INDEX(Meals!$B$6:$B$65,MATCH(A104,Meals!$A$6:$A$65,0)))&gt;0,Week!$B$3/INDEX(Meals!$B$6:$B$65,MATCH(A104,Meals!$A$6:$A$65,0)),1),1))</f>
        <v>1</v>
      </c>
      <c r="H104" s="19" t="n">
        <f aca="false">IF(OR(B104="",F104=0),0,N(C104)*F104*G104)</f>
        <v>0</v>
      </c>
      <c r="I104" s="20" t="str">
        <f aca="false">IF(B104="","",LOWER(TRIM(B104))&amp;" | "&amp;LOWER(TRIM(D104)))</f>
        <v/>
      </c>
      <c r="J104" s="18" t="str">
        <f aca="false">IF(H104&lt;=0,"",IF(COUNTIFS(I$5:I103,I104,H$5:H103,"&gt;0")=0,IFERROR(MATCH(E104,Lists!$A$2:$A$8,0),7)*10000+ROW(),""))</f>
        <v/>
      </c>
    </row>
    <row r="105" customFormat="false" ht="15" hidden="false" customHeight="false" outlineLevel="0" collapsed="false">
      <c r="A105" s="10"/>
      <c r="B105" s="10"/>
      <c r="C105" s="17"/>
      <c r="D105" s="10"/>
      <c r="E105" s="10"/>
      <c r="F105" s="18" t="n">
        <f aca="false">IF(A105="",0,COUNTIF(Week!$B$6:$E$12,A105))</f>
        <v>0</v>
      </c>
      <c r="G105" s="19" t="n">
        <f aca="false">IF(A105="",1,IFERROR(IF(N(INDEX(Meals!$B$6:$B$65,MATCH(A105,Meals!$A$6:$A$65,0)))&gt;0,Week!$B$3/INDEX(Meals!$B$6:$B$65,MATCH(A105,Meals!$A$6:$A$65,0)),1),1))</f>
        <v>1</v>
      </c>
      <c r="H105" s="19" t="n">
        <f aca="false">IF(OR(B105="",F105=0),0,N(C105)*F105*G105)</f>
        <v>0</v>
      </c>
      <c r="I105" s="20" t="str">
        <f aca="false">IF(B105="","",LOWER(TRIM(B105))&amp;" | "&amp;LOWER(TRIM(D105)))</f>
        <v/>
      </c>
      <c r="J105" s="18" t="str">
        <f aca="false">IF(H105&lt;=0,"",IF(COUNTIFS(I$5:I104,I105,H$5:H104,"&gt;0")=0,IFERROR(MATCH(E105,Lists!$A$2:$A$8,0),7)*10000+ROW(),""))</f>
        <v/>
      </c>
    </row>
    <row r="106" customFormat="false" ht="15" hidden="false" customHeight="false" outlineLevel="0" collapsed="false">
      <c r="A106" s="10"/>
      <c r="B106" s="10"/>
      <c r="C106" s="17"/>
      <c r="D106" s="10"/>
      <c r="E106" s="10"/>
      <c r="F106" s="18" t="n">
        <f aca="false">IF(A106="",0,COUNTIF(Week!$B$6:$E$12,A106))</f>
        <v>0</v>
      </c>
      <c r="G106" s="19" t="n">
        <f aca="false">IF(A106="",1,IFERROR(IF(N(INDEX(Meals!$B$6:$B$65,MATCH(A106,Meals!$A$6:$A$65,0)))&gt;0,Week!$B$3/INDEX(Meals!$B$6:$B$65,MATCH(A106,Meals!$A$6:$A$65,0)),1),1))</f>
        <v>1</v>
      </c>
      <c r="H106" s="19" t="n">
        <f aca="false">IF(OR(B106="",F106=0),0,N(C106)*F106*G106)</f>
        <v>0</v>
      </c>
      <c r="I106" s="20" t="str">
        <f aca="false">IF(B106="","",LOWER(TRIM(B106))&amp;" | "&amp;LOWER(TRIM(D106)))</f>
        <v/>
      </c>
      <c r="J106" s="18" t="str">
        <f aca="false">IF(H106&lt;=0,"",IF(COUNTIFS(I$5:I105,I106,H$5:H105,"&gt;0")=0,IFERROR(MATCH(E106,Lists!$A$2:$A$8,0),7)*10000+ROW(),""))</f>
        <v/>
      </c>
    </row>
    <row r="107" customFormat="false" ht="15" hidden="false" customHeight="false" outlineLevel="0" collapsed="false">
      <c r="A107" s="10"/>
      <c r="B107" s="10"/>
      <c r="C107" s="17"/>
      <c r="D107" s="10"/>
      <c r="E107" s="10"/>
      <c r="F107" s="18" t="n">
        <f aca="false">IF(A107="",0,COUNTIF(Week!$B$6:$E$12,A107))</f>
        <v>0</v>
      </c>
      <c r="G107" s="19" t="n">
        <f aca="false">IF(A107="",1,IFERROR(IF(N(INDEX(Meals!$B$6:$B$65,MATCH(A107,Meals!$A$6:$A$65,0)))&gt;0,Week!$B$3/INDEX(Meals!$B$6:$B$65,MATCH(A107,Meals!$A$6:$A$65,0)),1),1))</f>
        <v>1</v>
      </c>
      <c r="H107" s="19" t="n">
        <f aca="false">IF(OR(B107="",F107=0),0,N(C107)*F107*G107)</f>
        <v>0</v>
      </c>
      <c r="I107" s="20" t="str">
        <f aca="false">IF(B107="","",LOWER(TRIM(B107))&amp;" | "&amp;LOWER(TRIM(D107)))</f>
        <v/>
      </c>
      <c r="J107" s="18" t="str">
        <f aca="false">IF(H107&lt;=0,"",IF(COUNTIFS(I$5:I106,I107,H$5:H106,"&gt;0")=0,IFERROR(MATCH(E107,Lists!$A$2:$A$8,0),7)*10000+ROW(),""))</f>
        <v/>
      </c>
    </row>
    <row r="108" customFormat="false" ht="15" hidden="false" customHeight="false" outlineLevel="0" collapsed="false">
      <c r="A108" s="10"/>
      <c r="B108" s="10"/>
      <c r="C108" s="17"/>
      <c r="D108" s="10"/>
      <c r="E108" s="10"/>
      <c r="F108" s="18" t="n">
        <f aca="false">IF(A108="",0,COUNTIF(Week!$B$6:$E$12,A108))</f>
        <v>0</v>
      </c>
      <c r="G108" s="19" t="n">
        <f aca="false">IF(A108="",1,IFERROR(IF(N(INDEX(Meals!$B$6:$B$65,MATCH(A108,Meals!$A$6:$A$65,0)))&gt;0,Week!$B$3/INDEX(Meals!$B$6:$B$65,MATCH(A108,Meals!$A$6:$A$65,0)),1),1))</f>
        <v>1</v>
      </c>
      <c r="H108" s="19" t="n">
        <f aca="false">IF(OR(B108="",F108=0),0,N(C108)*F108*G108)</f>
        <v>0</v>
      </c>
      <c r="I108" s="20" t="str">
        <f aca="false">IF(B108="","",LOWER(TRIM(B108))&amp;" | "&amp;LOWER(TRIM(D108)))</f>
        <v/>
      </c>
      <c r="J108" s="18" t="str">
        <f aca="false">IF(H108&lt;=0,"",IF(COUNTIFS(I$5:I107,I108,H$5:H107,"&gt;0")=0,IFERROR(MATCH(E108,Lists!$A$2:$A$8,0),7)*10000+ROW(),""))</f>
        <v/>
      </c>
    </row>
    <row r="109" customFormat="false" ht="15" hidden="false" customHeight="false" outlineLevel="0" collapsed="false">
      <c r="A109" s="10"/>
      <c r="B109" s="10"/>
      <c r="C109" s="17"/>
      <c r="D109" s="10"/>
      <c r="E109" s="10"/>
      <c r="F109" s="18" t="n">
        <f aca="false">IF(A109="",0,COUNTIF(Week!$B$6:$E$12,A109))</f>
        <v>0</v>
      </c>
      <c r="G109" s="19" t="n">
        <f aca="false">IF(A109="",1,IFERROR(IF(N(INDEX(Meals!$B$6:$B$65,MATCH(A109,Meals!$A$6:$A$65,0)))&gt;0,Week!$B$3/INDEX(Meals!$B$6:$B$65,MATCH(A109,Meals!$A$6:$A$65,0)),1),1))</f>
        <v>1</v>
      </c>
      <c r="H109" s="19" t="n">
        <f aca="false">IF(OR(B109="",F109=0),0,N(C109)*F109*G109)</f>
        <v>0</v>
      </c>
      <c r="I109" s="20" t="str">
        <f aca="false">IF(B109="","",LOWER(TRIM(B109))&amp;" | "&amp;LOWER(TRIM(D109)))</f>
        <v/>
      </c>
      <c r="J109" s="18" t="str">
        <f aca="false">IF(H109&lt;=0,"",IF(COUNTIFS(I$5:I108,I109,H$5:H108,"&gt;0")=0,IFERROR(MATCH(E109,Lists!$A$2:$A$8,0),7)*10000+ROW(),""))</f>
        <v/>
      </c>
    </row>
    <row r="110" customFormat="false" ht="15" hidden="false" customHeight="false" outlineLevel="0" collapsed="false">
      <c r="A110" s="10"/>
      <c r="B110" s="10"/>
      <c r="C110" s="17"/>
      <c r="D110" s="10"/>
      <c r="E110" s="10"/>
      <c r="F110" s="18" t="n">
        <f aca="false">IF(A110="",0,COUNTIF(Week!$B$6:$E$12,A110))</f>
        <v>0</v>
      </c>
      <c r="G110" s="19" t="n">
        <f aca="false">IF(A110="",1,IFERROR(IF(N(INDEX(Meals!$B$6:$B$65,MATCH(A110,Meals!$A$6:$A$65,0)))&gt;0,Week!$B$3/INDEX(Meals!$B$6:$B$65,MATCH(A110,Meals!$A$6:$A$65,0)),1),1))</f>
        <v>1</v>
      </c>
      <c r="H110" s="19" t="n">
        <f aca="false">IF(OR(B110="",F110=0),0,N(C110)*F110*G110)</f>
        <v>0</v>
      </c>
      <c r="I110" s="20" t="str">
        <f aca="false">IF(B110="","",LOWER(TRIM(B110))&amp;" | "&amp;LOWER(TRIM(D110)))</f>
        <v/>
      </c>
      <c r="J110" s="18" t="str">
        <f aca="false">IF(H110&lt;=0,"",IF(COUNTIFS(I$5:I109,I110,H$5:H109,"&gt;0")=0,IFERROR(MATCH(E110,Lists!$A$2:$A$8,0),7)*10000+ROW(),""))</f>
        <v/>
      </c>
    </row>
    <row r="111" customFormat="false" ht="15" hidden="false" customHeight="false" outlineLevel="0" collapsed="false">
      <c r="A111" s="10"/>
      <c r="B111" s="10"/>
      <c r="C111" s="17"/>
      <c r="D111" s="10"/>
      <c r="E111" s="10"/>
      <c r="F111" s="18" t="n">
        <f aca="false">IF(A111="",0,COUNTIF(Week!$B$6:$E$12,A111))</f>
        <v>0</v>
      </c>
      <c r="G111" s="19" t="n">
        <f aca="false">IF(A111="",1,IFERROR(IF(N(INDEX(Meals!$B$6:$B$65,MATCH(A111,Meals!$A$6:$A$65,0)))&gt;0,Week!$B$3/INDEX(Meals!$B$6:$B$65,MATCH(A111,Meals!$A$6:$A$65,0)),1),1))</f>
        <v>1</v>
      </c>
      <c r="H111" s="19" t="n">
        <f aca="false">IF(OR(B111="",F111=0),0,N(C111)*F111*G111)</f>
        <v>0</v>
      </c>
      <c r="I111" s="20" t="str">
        <f aca="false">IF(B111="","",LOWER(TRIM(B111))&amp;" | "&amp;LOWER(TRIM(D111)))</f>
        <v/>
      </c>
      <c r="J111" s="18" t="str">
        <f aca="false">IF(H111&lt;=0,"",IF(COUNTIFS(I$5:I110,I111,H$5:H110,"&gt;0")=0,IFERROR(MATCH(E111,Lists!$A$2:$A$8,0),7)*10000+ROW(),""))</f>
        <v/>
      </c>
    </row>
    <row r="112" customFormat="false" ht="15" hidden="false" customHeight="false" outlineLevel="0" collapsed="false">
      <c r="A112" s="10"/>
      <c r="B112" s="10"/>
      <c r="C112" s="17"/>
      <c r="D112" s="10"/>
      <c r="E112" s="10"/>
      <c r="F112" s="18" t="n">
        <f aca="false">IF(A112="",0,COUNTIF(Week!$B$6:$E$12,A112))</f>
        <v>0</v>
      </c>
      <c r="G112" s="19" t="n">
        <f aca="false">IF(A112="",1,IFERROR(IF(N(INDEX(Meals!$B$6:$B$65,MATCH(A112,Meals!$A$6:$A$65,0)))&gt;0,Week!$B$3/INDEX(Meals!$B$6:$B$65,MATCH(A112,Meals!$A$6:$A$65,0)),1),1))</f>
        <v>1</v>
      </c>
      <c r="H112" s="19" t="n">
        <f aca="false">IF(OR(B112="",F112=0),0,N(C112)*F112*G112)</f>
        <v>0</v>
      </c>
      <c r="I112" s="20" t="str">
        <f aca="false">IF(B112="","",LOWER(TRIM(B112))&amp;" | "&amp;LOWER(TRIM(D112)))</f>
        <v/>
      </c>
      <c r="J112" s="18" t="str">
        <f aca="false">IF(H112&lt;=0,"",IF(COUNTIFS(I$5:I111,I112,H$5:H111,"&gt;0")=0,IFERROR(MATCH(E112,Lists!$A$2:$A$8,0),7)*10000+ROW(),""))</f>
        <v/>
      </c>
    </row>
    <row r="113" customFormat="false" ht="15" hidden="false" customHeight="false" outlineLevel="0" collapsed="false">
      <c r="A113" s="10"/>
      <c r="B113" s="10"/>
      <c r="C113" s="17"/>
      <c r="D113" s="10"/>
      <c r="E113" s="10"/>
      <c r="F113" s="18" t="n">
        <f aca="false">IF(A113="",0,COUNTIF(Week!$B$6:$E$12,A113))</f>
        <v>0</v>
      </c>
      <c r="G113" s="19" t="n">
        <f aca="false">IF(A113="",1,IFERROR(IF(N(INDEX(Meals!$B$6:$B$65,MATCH(A113,Meals!$A$6:$A$65,0)))&gt;0,Week!$B$3/INDEX(Meals!$B$6:$B$65,MATCH(A113,Meals!$A$6:$A$65,0)),1),1))</f>
        <v>1</v>
      </c>
      <c r="H113" s="19" t="n">
        <f aca="false">IF(OR(B113="",F113=0),0,N(C113)*F113*G113)</f>
        <v>0</v>
      </c>
      <c r="I113" s="20" t="str">
        <f aca="false">IF(B113="","",LOWER(TRIM(B113))&amp;" | "&amp;LOWER(TRIM(D113)))</f>
        <v/>
      </c>
      <c r="J113" s="18" t="str">
        <f aca="false">IF(H113&lt;=0,"",IF(COUNTIFS(I$5:I112,I113,H$5:H112,"&gt;0")=0,IFERROR(MATCH(E113,Lists!$A$2:$A$8,0),7)*10000+ROW(),""))</f>
        <v/>
      </c>
    </row>
    <row r="114" customFormat="false" ht="15" hidden="false" customHeight="false" outlineLevel="0" collapsed="false">
      <c r="A114" s="10"/>
      <c r="B114" s="10"/>
      <c r="C114" s="17"/>
      <c r="D114" s="10"/>
      <c r="E114" s="10"/>
      <c r="F114" s="18" t="n">
        <f aca="false">IF(A114="",0,COUNTIF(Week!$B$6:$E$12,A114))</f>
        <v>0</v>
      </c>
      <c r="G114" s="19" t="n">
        <f aca="false">IF(A114="",1,IFERROR(IF(N(INDEX(Meals!$B$6:$B$65,MATCH(A114,Meals!$A$6:$A$65,0)))&gt;0,Week!$B$3/INDEX(Meals!$B$6:$B$65,MATCH(A114,Meals!$A$6:$A$65,0)),1),1))</f>
        <v>1</v>
      </c>
      <c r="H114" s="19" t="n">
        <f aca="false">IF(OR(B114="",F114=0),0,N(C114)*F114*G114)</f>
        <v>0</v>
      </c>
      <c r="I114" s="20" t="str">
        <f aca="false">IF(B114="","",LOWER(TRIM(B114))&amp;" | "&amp;LOWER(TRIM(D114)))</f>
        <v/>
      </c>
      <c r="J114" s="18" t="str">
        <f aca="false">IF(H114&lt;=0,"",IF(COUNTIFS(I$5:I113,I114,H$5:H113,"&gt;0")=0,IFERROR(MATCH(E114,Lists!$A$2:$A$8,0),7)*10000+ROW(),""))</f>
        <v/>
      </c>
    </row>
    <row r="115" customFormat="false" ht="15" hidden="false" customHeight="false" outlineLevel="0" collapsed="false">
      <c r="A115" s="10"/>
      <c r="B115" s="10"/>
      <c r="C115" s="17"/>
      <c r="D115" s="10"/>
      <c r="E115" s="10"/>
      <c r="F115" s="18" t="n">
        <f aca="false">IF(A115="",0,COUNTIF(Week!$B$6:$E$12,A115))</f>
        <v>0</v>
      </c>
      <c r="G115" s="19" t="n">
        <f aca="false">IF(A115="",1,IFERROR(IF(N(INDEX(Meals!$B$6:$B$65,MATCH(A115,Meals!$A$6:$A$65,0)))&gt;0,Week!$B$3/INDEX(Meals!$B$6:$B$65,MATCH(A115,Meals!$A$6:$A$65,0)),1),1))</f>
        <v>1</v>
      </c>
      <c r="H115" s="19" t="n">
        <f aca="false">IF(OR(B115="",F115=0),0,N(C115)*F115*G115)</f>
        <v>0</v>
      </c>
      <c r="I115" s="20" t="str">
        <f aca="false">IF(B115="","",LOWER(TRIM(B115))&amp;" | "&amp;LOWER(TRIM(D115)))</f>
        <v/>
      </c>
      <c r="J115" s="18" t="str">
        <f aca="false">IF(H115&lt;=0,"",IF(COUNTIFS(I$5:I114,I115,H$5:H114,"&gt;0")=0,IFERROR(MATCH(E115,Lists!$A$2:$A$8,0),7)*10000+ROW(),""))</f>
        <v/>
      </c>
    </row>
    <row r="116" customFormat="false" ht="15" hidden="false" customHeight="false" outlineLevel="0" collapsed="false">
      <c r="A116" s="10"/>
      <c r="B116" s="10"/>
      <c r="C116" s="17"/>
      <c r="D116" s="10"/>
      <c r="E116" s="10"/>
      <c r="F116" s="18" t="n">
        <f aca="false">IF(A116="",0,COUNTIF(Week!$B$6:$E$12,A116))</f>
        <v>0</v>
      </c>
      <c r="G116" s="19" t="n">
        <f aca="false">IF(A116="",1,IFERROR(IF(N(INDEX(Meals!$B$6:$B$65,MATCH(A116,Meals!$A$6:$A$65,0)))&gt;0,Week!$B$3/INDEX(Meals!$B$6:$B$65,MATCH(A116,Meals!$A$6:$A$65,0)),1),1))</f>
        <v>1</v>
      </c>
      <c r="H116" s="19" t="n">
        <f aca="false">IF(OR(B116="",F116=0),0,N(C116)*F116*G116)</f>
        <v>0</v>
      </c>
      <c r="I116" s="20" t="str">
        <f aca="false">IF(B116="","",LOWER(TRIM(B116))&amp;" | "&amp;LOWER(TRIM(D116)))</f>
        <v/>
      </c>
      <c r="J116" s="18" t="str">
        <f aca="false">IF(H116&lt;=0,"",IF(COUNTIFS(I$5:I115,I116,H$5:H115,"&gt;0")=0,IFERROR(MATCH(E116,Lists!$A$2:$A$8,0),7)*10000+ROW(),""))</f>
        <v/>
      </c>
    </row>
    <row r="117" customFormat="false" ht="15" hidden="false" customHeight="false" outlineLevel="0" collapsed="false">
      <c r="A117" s="10"/>
      <c r="B117" s="10"/>
      <c r="C117" s="17"/>
      <c r="D117" s="10"/>
      <c r="E117" s="10"/>
      <c r="F117" s="18" t="n">
        <f aca="false">IF(A117="",0,COUNTIF(Week!$B$6:$E$12,A117))</f>
        <v>0</v>
      </c>
      <c r="G117" s="19" t="n">
        <f aca="false">IF(A117="",1,IFERROR(IF(N(INDEX(Meals!$B$6:$B$65,MATCH(A117,Meals!$A$6:$A$65,0)))&gt;0,Week!$B$3/INDEX(Meals!$B$6:$B$65,MATCH(A117,Meals!$A$6:$A$65,0)),1),1))</f>
        <v>1</v>
      </c>
      <c r="H117" s="19" t="n">
        <f aca="false">IF(OR(B117="",F117=0),0,N(C117)*F117*G117)</f>
        <v>0</v>
      </c>
      <c r="I117" s="20" t="str">
        <f aca="false">IF(B117="","",LOWER(TRIM(B117))&amp;" | "&amp;LOWER(TRIM(D117)))</f>
        <v/>
      </c>
      <c r="J117" s="18" t="str">
        <f aca="false">IF(H117&lt;=0,"",IF(COUNTIFS(I$5:I116,I117,H$5:H116,"&gt;0")=0,IFERROR(MATCH(E117,Lists!$A$2:$A$8,0),7)*10000+ROW(),""))</f>
        <v/>
      </c>
    </row>
    <row r="118" customFormat="false" ht="15" hidden="false" customHeight="false" outlineLevel="0" collapsed="false">
      <c r="A118" s="10"/>
      <c r="B118" s="10"/>
      <c r="C118" s="17"/>
      <c r="D118" s="10"/>
      <c r="E118" s="10"/>
      <c r="F118" s="18" t="n">
        <f aca="false">IF(A118="",0,COUNTIF(Week!$B$6:$E$12,A118))</f>
        <v>0</v>
      </c>
      <c r="G118" s="19" t="n">
        <f aca="false">IF(A118="",1,IFERROR(IF(N(INDEX(Meals!$B$6:$B$65,MATCH(A118,Meals!$A$6:$A$65,0)))&gt;0,Week!$B$3/INDEX(Meals!$B$6:$B$65,MATCH(A118,Meals!$A$6:$A$65,0)),1),1))</f>
        <v>1</v>
      </c>
      <c r="H118" s="19" t="n">
        <f aca="false">IF(OR(B118="",F118=0),0,N(C118)*F118*G118)</f>
        <v>0</v>
      </c>
      <c r="I118" s="20" t="str">
        <f aca="false">IF(B118="","",LOWER(TRIM(B118))&amp;" | "&amp;LOWER(TRIM(D118)))</f>
        <v/>
      </c>
      <c r="J118" s="18" t="str">
        <f aca="false">IF(H118&lt;=0,"",IF(COUNTIFS(I$5:I117,I118,H$5:H117,"&gt;0")=0,IFERROR(MATCH(E118,Lists!$A$2:$A$8,0),7)*10000+ROW(),""))</f>
        <v/>
      </c>
    </row>
    <row r="119" customFormat="false" ht="15" hidden="false" customHeight="false" outlineLevel="0" collapsed="false">
      <c r="A119" s="10"/>
      <c r="B119" s="10"/>
      <c r="C119" s="17"/>
      <c r="D119" s="10"/>
      <c r="E119" s="10"/>
      <c r="F119" s="18" t="n">
        <f aca="false">IF(A119="",0,COUNTIF(Week!$B$6:$E$12,A119))</f>
        <v>0</v>
      </c>
      <c r="G119" s="19" t="n">
        <f aca="false">IF(A119="",1,IFERROR(IF(N(INDEX(Meals!$B$6:$B$65,MATCH(A119,Meals!$A$6:$A$65,0)))&gt;0,Week!$B$3/INDEX(Meals!$B$6:$B$65,MATCH(A119,Meals!$A$6:$A$65,0)),1),1))</f>
        <v>1</v>
      </c>
      <c r="H119" s="19" t="n">
        <f aca="false">IF(OR(B119="",F119=0),0,N(C119)*F119*G119)</f>
        <v>0</v>
      </c>
      <c r="I119" s="20" t="str">
        <f aca="false">IF(B119="","",LOWER(TRIM(B119))&amp;" | "&amp;LOWER(TRIM(D119)))</f>
        <v/>
      </c>
      <c r="J119" s="18" t="str">
        <f aca="false">IF(H119&lt;=0,"",IF(COUNTIFS(I$5:I118,I119,H$5:H118,"&gt;0")=0,IFERROR(MATCH(E119,Lists!$A$2:$A$8,0),7)*10000+ROW(),""))</f>
        <v/>
      </c>
    </row>
    <row r="120" customFormat="false" ht="15" hidden="false" customHeight="false" outlineLevel="0" collapsed="false">
      <c r="A120" s="10"/>
      <c r="B120" s="10"/>
      <c r="C120" s="17"/>
      <c r="D120" s="10"/>
      <c r="E120" s="10"/>
      <c r="F120" s="18" t="n">
        <f aca="false">IF(A120="",0,COUNTIF(Week!$B$6:$E$12,A120))</f>
        <v>0</v>
      </c>
      <c r="G120" s="19" t="n">
        <f aca="false">IF(A120="",1,IFERROR(IF(N(INDEX(Meals!$B$6:$B$65,MATCH(A120,Meals!$A$6:$A$65,0)))&gt;0,Week!$B$3/INDEX(Meals!$B$6:$B$65,MATCH(A120,Meals!$A$6:$A$65,0)),1),1))</f>
        <v>1</v>
      </c>
      <c r="H120" s="19" t="n">
        <f aca="false">IF(OR(B120="",F120=0),0,N(C120)*F120*G120)</f>
        <v>0</v>
      </c>
      <c r="I120" s="20" t="str">
        <f aca="false">IF(B120="","",LOWER(TRIM(B120))&amp;" | "&amp;LOWER(TRIM(D120)))</f>
        <v/>
      </c>
      <c r="J120" s="18" t="str">
        <f aca="false">IF(H120&lt;=0,"",IF(COUNTIFS(I$5:I119,I120,H$5:H119,"&gt;0")=0,IFERROR(MATCH(E120,Lists!$A$2:$A$8,0),7)*10000+ROW(),""))</f>
        <v/>
      </c>
    </row>
    <row r="121" customFormat="false" ht="15" hidden="false" customHeight="false" outlineLevel="0" collapsed="false">
      <c r="A121" s="10"/>
      <c r="B121" s="10"/>
      <c r="C121" s="17"/>
      <c r="D121" s="10"/>
      <c r="E121" s="10"/>
      <c r="F121" s="18" t="n">
        <f aca="false">IF(A121="",0,COUNTIF(Week!$B$6:$E$12,A121))</f>
        <v>0</v>
      </c>
      <c r="G121" s="19" t="n">
        <f aca="false">IF(A121="",1,IFERROR(IF(N(INDEX(Meals!$B$6:$B$65,MATCH(A121,Meals!$A$6:$A$65,0)))&gt;0,Week!$B$3/INDEX(Meals!$B$6:$B$65,MATCH(A121,Meals!$A$6:$A$65,0)),1),1))</f>
        <v>1</v>
      </c>
      <c r="H121" s="19" t="n">
        <f aca="false">IF(OR(B121="",F121=0),0,N(C121)*F121*G121)</f>
        <v>0</v>
      </c>
      <c r="I121" s="20" t="str">
        <f aca="false">IF(B121="","",LOWER(TRIM(B121))&amp;" | "&amp;LOWER(TRIM(D121)))</f>
        <v/>
      </c>
      <c r="J121" s="18" t="str">
        <f aca="false">IF(H121&lt;=0,"",IF(COUNTIFS(I$5:I120,I121,H$5:H120,"&gt;0")=0,IFERROR(MATCH(E121,Lists!$A$2:$A$8,0),7)*10000+ROW(),""))</f>
        <v/>
      </c>
    </row>
    <row r="122" customFormat="false" ht="15" hidden="false" customHeight="false" outlineLevel="0" collapsed="false">
      <c r="A122" s="10"/>
      <c r="B122" s="10"/>
      <c r="C122" s="17"/>
      <c r="D122" s="10"/>
      <c r="E122" s="10"/>
      <c r="F122" s="18" t="n">
        <f aca="false">IF(A122="",0,COUNTIF(Week!$B$6:$E$12,A122))</f>
        <v>0</v>
      </c>
      <c r="G122" s="19" t="n">
        <f aca="false">IF(A122="",1,IFERROR(IF(N(INDEX(Meals!$B$6:$B$65,MATCH(A122,Meals!$A$6:$A$65,0)))&gt;0,Week!$B$3/INDEX(Meals!$B$6:$B$65,MATCH(A122,Meals!$A$6:$A$65,0)),1),1))</f>
        <v>1</v>
      </c>
      <c r="H122" s="19" t="n">
        <f aca="false">IF(OR(B122="",F122=0),0,N(C122)*F122*G122)</f>
        <v>0</v>
      </c>
      <c r="I122" s="20" t="str">
        <f aca="false">IF(B122="","",LOWER(TRIM(B122))&amp;" | "&amp;LOWER(TRIM(D122)))</f>
        <v/>
      </c>
      <c r="J122" s="18" t="str">
        <f aca="false">IF(H122&lt;=0,"",IF(COUNTIFS(I$5:I121,I122,H$5:H121,"&gt;0")=0,IFERROR(MATCH(E122,Lists!$A$2:$A$8,0),7)*10000+ROW(),""))</f>
        <v/>
      </c>
    </row>
    <row r="123" customFormat="false" ht="15" hidden="false" customHeight="false" outlineLevel="0" collapsed="false">
      <c r="A123" s="10"/>
      <c r="B123" s="10"/>
      <c r="C123" s="17"/>
      <c r="D123" s="10"/>
      <c r="E123" s="10"/>
      <c r="F123" s="18" t="n">
        <f aca="false">IF(A123="",0,COUNTIF(Week!$B$6:$E$12,A123))</f>
        <v>0</v>
      </c>
      <c r="G123" s="19" t="n">
        <f aca="false">IF(A123="",1,IFERROR(IF(N(INDEX(Meals!$B$6:$B$65,MATCH(A123,Meals!$A$6:$A$65,0)))&gt;0,Week!$B$3/INDEX(Meals!$B$6:$B$65,MATCH(A123,Meals!$A$6:$A$65,0)),1),1))</f>
        <v>1</v>
      </c>
      <c r="H123" s="19" t="n">
        <f aca="false">IF(OR(B123="",F123=0),0,N(C123)*F123*G123)</f>
        <v>0</v>
      </c>
      <c r="I123" s="20" t="str">
        <f aca="false">IF(B123="","",LOWER(TRIM(B123))&amp;" | "&amp;LOWER(TRIM(D123)))</f>
        <v/>
      </c>
      <c r="J123" s="18" t="str">
        <f aca="false">IF(H123&lt;=0,"",IF(COUNTIFS(I$5:I122,I123,H$5:H122,"&gt;0")=0,IFERROR(MATCH(E123,Lists!$A$2:$A$8,0),7)*10000+ROW(),""))</f>
        <v/>
      </c>
    </row>
    <row r="124" customFormat="false" ht="15" hidden="false" customHeight="false" outlineLevel="0" collapsed="false">
      <c r="A124" s="10"/>
      <c r="B124" s="10"/>
      <c r="C124" s="17"/>
      <c r="D124" s="10"/>
      <c r="E124" s="10"/>
      <c r="F124" s="18" t="n">
        <f aca="false">IF(A124="",0,COUNTIF(Week!$B$6:$E$12,A124))</f>
        <v>0</v>
      </c>
      <c r="G124" s="19" t="n">
        <f aca="false">IF(A124="",1,IFERROR(IF(N(INDEX(Meals!$B$6:$B$65,MATCH(A124,Meals!$A$6:$A$65,0)))&gt;0,Week!$B$3/INDEX(Meals!$B$6:$B$65,MATCH(A124,Meals!$A$6:$A$65,0)),1),1))</f>
        <v>1</v>
      </c>
      <c r="H124" s="19" t="n">
        <f aca="false">IF(OR(B124="",F124=0),0,N(C124)*F124*G124)</f>
        <v>0</v>
      </c>
      <c r="I124" s="20" t="str">
        <f aca="false">IF(B124="","",LOWER(TRIM(B124))&amp;" | "&amp;LOWER(TRIM(D124)))</f>
        <v/>
      </c>
      <c r="J124" s="18" t="str">
        <f aca="false">IF(H124&lt;=0,"",IF(COUNTIFS(I$5:I123,I124,H$5:H123,"&gt;0")=0,IFERROR(MATCH(E124,Lists!$A$2:$A$8,0),7)*10000+ROW(),""))</f>
        <v/>
      </c>
    </row>
    <row r="125" customFormat="false" ht="15" hidden="false" customHeight="false" outlineLevel="0" collapsed="false">
      <c r="A125" s="10"/>
      <c r="B125" s="10"/>
      <c r="C125" s="17"/>
      <c r="D125" s="10"/>
      <c r="E125" s="10"/>
      <c r="F125" s="18" t="n">
        <f aca="false">IF(A125="",0,COUNTIF(Week!$B$6:$E$12,A125))</f>
        <v>0</v>
      </c>
      <c r="G125" s="19" t="n">
        <f aca="false">IF(A125="",1,IFERROR(IF(N(INDEX(Meals!$B$6:$B$65,MATCH(A125,Meals!$A$6:$A$65,0)))&gt;0,Week!$B$3/INDEX(Meals!$B$6:$B$65,MATCH(A125,Meals!$A$6:$A$65,0)),1),1))</f>
        <v>1</v>
      </c>
      <c r="H125" s="19" t="n">
        <f aca="false">IF(OR(B125="",F125=0),0,N(C125)*F125*G125)</f>
        <v>0</v>
      </c>
      <c r="I125" s="20" t="str">
        <f aca="false">IF(B125="","",LOWER(TRIM(B125))&amp;" | "&amp;LOWER(TRIM(D125)))</f>
        <v/>
      </c>
      <c r="J125" s="18" t="str">
        <f aca="false">IF(H125&lt;=0,"",IF(COUNTIFS(I$5:I124,I125,H$5:H124,"&gt;0")=0,IFERROR(MATCH(E125,Lists!$A$2:$A$8,0),7)*10000+ROW(),""))</f>
        <v/>
      </c>
    </row>
    <row r="126" customFormat="false" ht="15" hidden="false" customHeight="false" outlineLevel="0" collapsed="false">
      <c r="A126" s="10"/>
      <c r="B126" s="10"/>
      <c r="C126" s="17"/>
      <c r="D126" s="10"/>
      <c r="E126" s="10"/>
      <c r="F126" s="18" t="n">
        <f aca="false">IF(A126="",0,COUNTIF(Week!$B$6:$E$12,A126))</f>
        <v>0</v>
      </c>
      <c r="G126" s="19" t="n">
        <f aca="false">IF(A126="",1,IFERROR(IF(N(INDEX(Meals!$B$6:$B$65,MATCH(A126,Meals!$A$6:$A$65,0)))&gt;0,Week!$B$3/INDEX(Meals!$B$6:$B$65,MATCH(A126,Meals!$A$6:$A$65,0)),1),1))</f>
        <v>1</v>
      </c>
      <c r="H126" s="19" t="n">
        <f aca="false">IF(OR(B126="",F126=0),0,N(C126)*F126*G126)</f>
        <v>0</v>
      </c>
      <c r="I126" s="20" t="str">
        <f aca="false">IF(B126="","",LOWER(TRIM(B126))&amp;" | "&amp;LOWER(TRIM(D126)))</f>
        <v/>
      </c>
      <c r="J126" s="18" t="str">
        <f aca="false">IF(H126&lt;=0,"",IF(COUNTIFS(I$5:I125,I126,H$5:H125,"&gt;0")=0,IFERROR(MATCH(E126,Lists!$A$2:$A$8,0),7)*10000+ROW(),""))</f>
        <v/>
      </c>
    </row>
    <row r="127" customFormat="false" ht="15" hidden="false" customHeight="false" outlineLevel="0" collapsed="false">
      <c r="A127" s="10"/>
      <c r="B127" s="10"/>
      <c r="C127" s="17"/>
      <c r="D127" s="10"/>
      <c r="E127" s="10"/>
      <c r="F127" s="18" t="n">
        <f aca="false">IF(A127="",0,COUNTIF(Week!$B$6:$E$12,A127))</f>
        <v>0</v>
      </c>
      <c r="G127" s="19" t="n">
        <f aca="false">IF(A127="",1,IFERROR(IF(N(INDEX(Meals!$B$6:$B$65,MATCH(A127,Meals!$A$6:$A$65,0)))&gt;0,Week!$B$3/INDEX(Meals!$B$6:$B$65,MATCH(A127,Meals!$A$6:$A$65,0)),1),1))</f>
        <v>1</v>
      </c>
      <c r="H127" s="19" t="n">
        <f aca="false">IF(OR(B127="",F127=0),0,N(C127)*F127*G127)</f>
        <v>0</v>
      </c>
      <c r="I127" s="20" t="str">
        <f aca="false">IF(B127="","",LOWER(TRIM(B127))&amp;" | "&amp;LOWER(TRIM(D127)))</f>
        <v/>
      </c>
      <c r="J127" s="18" t="str">
        <f aca="false">IF(H127&lt;=0,"",IF(COUNTIFS(I$5:I126,I127,H$5:H126,"&gt;0")=0,IFERROR(MATCH(E127,Lists!$A$2:$A$8,0),7)*10000+ROW(),""))</f>
        <v/>
      </c>
    </row>
    <row r="128" customFormat="false" ht="15" hidden="false" customHeight="false" outlineLevel="0" collapsed="false">
      <c r="A128" s="10"/>
      <c r="B128" s="10"/>
      <c r="C128" s="17"/>
      <c r="D128" s="10"/>
      <c r="E128" s="10"/>
      <c r="F128" s="18" t="n">
        <f aca="false">IF(A128="",0,COUNTIF(Week!$B$6:$E$12,A128))</f>
        <v>0</v>
      </c>
      <c r="G128" s="19" t="n">
        <f aca="false">IF(A128="",1,IFERROR(IF(N(INDEX(Meals!$B$6:$B$65,MATCH(A128,Meals!$A$6:$A$65,0)))&gt;0,Week!$B$3/INDEX(Meals!$B$6:$B$65,MATCH(A128,Meals!$A$6:$A$65,0)),1),1))</f>
        <v>1</v>
      </c>
      <c r="H128" s="19" t="n">
        <f aca="false">IF(OR(B128="",F128=0),0,N(C128)*F128*G128)</f>
        <v>0</v>
      </c>
      <c r="I128" s="20" t="str">
        <f aca="false">IF(B128="","",LOWER(TRIM(B128))&amp;" | "&amp;LOWER(TRIM(D128)))</f>
        <v/>
      </c>
      <c r="J128" s="18" t="str">
        <f aca="false">IF(H128&lt;=0,"",IF(COUNTIFS(I$5:I127,I128,H$5:H127,"&gt;0")=0,IFERROR(MATCH(E128,Lists!$A$2:$A$8,0),7)*10000+ROW(),""))</f>
        <v/>
      </c>
    </row>
    <row r="129" customFormat="false" ht="15" hidden="false" customHeight="false" outlineLevel="0" collapsed="false">
      <c r="A129" s="10"/>
      <c r="B129" s="10"/>
      <c r="C129" s="17"/>
      <c r="D129" s="10"/>
      <c r="E129" s="10"/>
      <c r="F129" s="18" t="n">
        <f aca="false">IF(A129="",0,COUNTIF(Week!$B$6:$E$12,A129))</f>
        <v>0</v>
      </c>
      <c r="G129" s="19" t="n">
        <f aca="false">IF(A129="",1,IFERROR(IF(N(INDEX(Meals!$B$6:$B$65,MATCH(A129,Meals!$A$6:$A$65,0)))&gt;0,Week!$B$3/INDEX(Meals!$B$6:$B$65,MATCH(A129,Meals!$A$6:$A$65,0)),1),1))</f>
        <v>1</v>
      </c>
      <c r="H129" s="19" t="n">
        <f aca="false">IF(OR(B129="",F129=0),0,N(C129)*F129*G129)</f>
        <v>0</v>
      </c>
      <c r="I129" s="20" t="str">
        <f aca="false">IF(B129="","",LOWER(TRIM(B129))&amp;" | "&amp;LOWER(TRIM(D129)))</f>
        <v/>
      </c>
      <c r="J129" s="18" t="str">
        <f aca="false">IF(H129&lt;=0,"",IF(COUNTIFS(I$5:I128,I129,H$5:H128,"&gt;0")=0,IFERROR(MATCH(E129,Lists!$A$2:$A$8,0),7)*10000+ROW(),""))</f>
        <v/>
      </c>
    </row>
    <row r="130" customFormat="false" ht="15" hidden="false" customHeight="false" outlineLevel="0" collapsed="false">
      <c r="A130" s="10"/>
      <c r="B130" s="10"/>
      <c r="C130" s="17"/>
      <c r="D130" s="10"/>
      <c r="E130" s="10"/>
      <c r="F130" s="18" t="n">
        <f aca="false">IF(A130="",0,COUNTIF(Week!$B$6:$E$12,A130))</f>
        <v>0</v>
      </c>
      <c r="G130" s="19" t="n">
        <f aca="false">IF(A130="",1,IFERROR(IF(N(INDEX(Meals!$B$6:$B$65,MATCH(A130,Meals!$A$6:$A$65,0)))&gt;0,Week!$B$3/INDEX(Meals!$B$6:$B$65,MATCH(A130,Meals!$A$6:$A$65,0)),1),1))</f>
        <v>1</v>
      </c>
      <c r="H130" s="19" t="n">
        <f aca="false">IF(OR(B130="",F130=0),0,N(C130)*F130*G130)</f>
        <v>0</v>
      </c>
      <c r="I130" s="20" t="str">
        <f aca="false">IF(B130="","",LOWER(TRIM(B130))&amp;" | "&amp;LOWER(TRIM(D130)))</f>
        <v/>
      </c>
      <c r="J130" s="18" t="str">
        <f aca="false">IF(H130&lt;=0,"",IF(COUNTIFS(I$5:I129,I130,H$5:H129,"&gt;0")=0,IFERROR(MATCH(E130,Lists!$A$2:$A$8,0),7)*10000+ROW(),""))</f>
        <v/>
      </c>
    </row>
    <row r="131" customFormat="false" ht="15" hidden="false" customHeight="false" outlineLevel="0" collapsed="false">
      <c r="A131" s="10"/>
      <c r="B131" s="10"/>
      <c r="C131" s="17"/>
      <c r="D131" s="10"/>
      <c r="E131" s="10"/>
      <c r="F131" s="18" t="n">
        <f aca="false">IF(A131="",0,COUNTIF(Week!$B$6:$E$12,A131))</f>
        <v>0</v>
      </c>
      <c r="G131" s="19" t="n">
        <f aca="false">IF(A131="",1,IFERROR(IF(N(INDEX(Meals!$B$6:$B$65,MATCH(A131,Meals!$A$6:$A$65,0)))&gt;0,Week!$B$3/INDEX(Meals!$B$6:$B$65,MATCH(A131,Meals!$A$6:$A$65,0)),1),1))</f>
        <v>1</v>
      </c>
      <c r="H131" s="19" t="n">
        <f aca="false">IF(OR(B131="",F131=0),0,N(C131)*F131*G131)</f>
        <v>0</v>
      </c>
      <c r="I131" s="20" t="str">
        <f aca="false">IF(B131="","",LOWER(TRIM(B131))&amp;" | "&amp;LOWER(TRIM(D131)))</f>
        <v/>
      </c>
      <c r="J131" s="18" t="str">
        <f aca="false">IF(H131&lt;=0,"",IF(COUNTIFS(I$5:I130,I131,H$5:H130,"&gt;0")=0,IFERROR(MATCH(E131,Lists!$A$2:$A$8,0),7)*10000+ROW(),""))</f>
        <v/>
      </c>
    </row>
    <row r="132" customFormat="false" ht="15" hidden="false" customHeight="false" outlineLevel="0" collapsed="false">
      <c r="A132" s="10"/>
      <c r="B132" s="10"/>
      <c r="C132" s="17"/>
      <c r="D132" s="10"/>
      <c r="E132" s="10"/>
      <c r="F132" s="18" t="n">
        <f aca="false">IF(A132="",0,COUNTIF(Week!$B$6:$E$12,A132))</f>
        <v>0</v>
      </c>
      <c r="G132" s="19" t="n">
        <f aca="false">IF(A132="",1,IFERROR(IF(N(INDEX(Meals!$B$6:$B$65,MATCH(A132,Meals!$A$6:$A$65,0)))&gt;0,Week!$B$3/INDEX(Meals!$B$6:$B$65,MATCH(A132,Meals!$A$6:$A$65,0)),1),1))</f>
        <v>1</v>
      </c>
      <c r="H132" s="19" t="n">
        <f aca="false">IF(OR(B132="",F132=0),0,N(C132)*F132*G132)</f>
        <v>0</v>
      </c>
      <c r="I132" s="20" t="str">
        <f aca="false">IF(B132="","",LOWER(TRIM(B132))&amp;" | "&amp;LOWER(TRIM(D132)))</f>
        <v/>
      </c>
      <c r="J132" s="18" t="str">
        <f aca="false">IF(H132&lt;=0,"",IF(COUNTIFS(I$5:I131,I132,H$5:H131,"&gt;0")=0,IFERROR(MATCH(E132,Lists!$A$2:$A$8,0),7)*10000+ROW(),""))</f>
        <v/>
      </c>
    </row>
    <row r="133" customFormat="false" ht="15" hidden="false" customHeight="false" outlineLevel="0" collapsed="false">
      <c r="A133" s="10"/>
      <c r="B133" s="10"/>
      <c r="C133" s="17"/>
      <c r="D133" s="10"/>
      <c r="E133" s="10"/>
      <c r="F133" s="18" t="n">
        <f aca="false">IF(A133="",0,COUNTIF(Week!$B$6:$E$12,A133))</f>
        <v>0</v>
      </c>
      <c r="G133" s="19" t="n">
        <f aca="false">IF(A133="",1,IFERROR(IF(N(INDEX(Meals!$B$6:$B$65,MATCH(A133,Meals!$A$6:$A$65,0)))&gt;0,Week!$B$3/INDEX(Meals!$B$6:$B$65,MATCH(A133,Meals!$A$6:$A$65,0)),1),1))</f>
        <v>1</v>
      </c>
      <c r="H133" s="19" t="n">
        <f aca="false">IF(OR(B133="",F133=0),0,N(C133)*F133*G133)</f>
        <v>0</v>
      </c>
      <c r="I133" s="20" t="str">
        <f aca="false">IF(B133="","",LOWER(TRIM(B133))&amp;" | "&amp;LOWER(TRIM(D133)))</f>
        <v/>
      </c>
      <c r="J133" s="18" t="str">
        <f aca="false">IF(H133&lt;=0,"",IF(COUNTIFS(I$5:I132,I133,H$5:H132,"&gt;0")=0,IFERROR(MATCH(E133,Lists!$A$2:$A$8,0),7)*10000+ROW(),""))</f>
        <v/>
      </c>
    </row>
    <row r="134" customFormat="false" ht="15" hidden="false" customHeight="false" outlineLevel="0" collapsed="false">
      <c r="A134" s="10"/>
      <c r="B134" s="10"/>
      <c r="C134" s="17"/>
      <c r="D134" s="10"/>
      <c r="E134" s="10"/>
      <c r="F134" s="18" t="n">
        <f aca="false">IF(A134="",0,COUNTIF(Week!$B$6:$E$12,A134))</f>
        <v>0</v>
      </c>
      <c r="G134" s="19" t="n">
        <f aca="false">IF(A134="",1,IFERROR(IF(N(INDEX(Meals!$B$6:$B$65,MATCH(A134,Meals!$A$6:$A$65,0)))&gt;0,Week!$B$3/INDEX(Meals!$B$6:$B$65,MATCH(A134,Meals!$A$6:$A$65,0)),1),1))</f>
        <v>1</v>
      </c>
      <c r="H134" s="19" t="n">
        <f aca="false">IF(OR(B134="",F134=0),0,N(C134)*F134*G134)</f>
        <v>0</v>
      </c>
      <c r="I134" s="20" t="str">
        <f aca="false">IF(B134="","",LOWER(TRIM(B134))&amp;" | "&amp;LOWER(TRIM(D134)))</f>
        <v/>
      </c>
      <c r="J134" s="18" t="str">
        <f aca="false">IF(H134&lt;=0,"",IF(COUNTIFS(I$5:I133,I134,H$5:H133,"&gt;0")=0,IFERROR(MATCH(E134,Lists!$A$2:$A$8,0),7)*10000+ROW(),""))</f>
        <v/>
      </c>
    </row>
    <row r="135" customFormat="false" ht="15" hidden="false" customHeight="false" outlineLevel="0" collapsed="false">
      <c r="A135" s="10"/>
      <c r="B135" s="10"/>
      <c r="C135" s="17"/>
      <c r="D135" s="10"/>
      <c r="E135" s="10"/>
      <c r="F135" s="18" t="n">
        <f aca="false">IF(A135="",0,COUNTIF(Week!$B$6:$E$12,A135))</f>
        <v>0</v>
      </c>
      <c r="G135" s="19" t="n">
        <f aca="false">IF(A135="",1,IFERROR(IF(N(INDEX(Meals!$B$6:$B$65,MATCH(A135,Meals!$A$6:$A$65,0)))&gt;0,Week!$B$3/INDEX(Meals!$B$6:$B$65,MATCH(A135,Meals!$A$6:$A$65,0)),1),1))</f>
        <v>1</v>
      </c>
      <c r="H135" s="19" t="n">
        <f aca="false">IF(OR(B135="",F135=0),0,N(C135)*F135*G135)</f>
        <v>0</v>
      </c>
      <c r="I135" s="20" t="str">
        <f aca="false">IF(B135="","",LOWER(TRIM(B135))&amp;" | "&amp;LOWER(TRIM(D135)))</f>
        <v/>
      </c>
      <c r="J135" s="18" t="str">
        <f aca="false">IF(H135&lt;=0,"",IF(COUNTIFS(I$5:I134,I135,H$5:H134,"&gt;0")=0,IFERROR(MATCH(E135,Lists!$A$2:$A$8,0),7)*10000+ROW(),""))</f>
        <v/>
      </c>
    </row>
    <row r="136" customFormat="false" ht="15" hidden="false" customHeight="false" outlineLevel="0" collapsed="false">
      <c r="A136" s="10"/>
      <c r="B136" s="10"/>
      <c r="C136" s="17"/>
      <c r="D136" s="10"/>
      <c r="E136" s="10"/>
      <c r="F136" s="18" t="n">
        <f aca="false">IF(A136="",0,COUNTIF(Week!$B$6:$E$12,A136))</f>
        <v>0</v>
      </c>
      <c r="G136" s="19" t="n">
        <f aca="false">IF(A136="",1,IFERROR(IF(N(INDEX(Meals!$B$6:$B$65,MATCH(A136,Meals!$A$6:$A$65,0)))&gt;0,Week!$B$3/INDEX(Meals!$B$6:$B$65,MATCH(A136,Meals!$A$6:$A$65,0)),1),1))</f>
        <v>1</v>
      </c>
      <c r="H136" s="19" t="n">
        <f aca="false">IF(OR(B136="",F136=0),0,N(C136)*F136*G136)</f>
        <v>0</v>
      </c>
      <c r="I136" s="20" t="str">
        <f aca="false">IF(B136="","",LOWER(TRIM(B136))&amp;" | "&amp;LOWER(TRIM(D136)))</f>
        <v/>
      </c>
      <c r="J136" s="18" t="str">
        <f aca="false">IF(H136&lt;=0,"",IF(COUNTIFS(I$5:I135,I136,H$5:H135,"&gt;0")=0,IFERROR(MATCH(E136,Lists!$A$2:$A$8,0),7)*10000+ROW(),""))</f>
        <v/>
      </c>
    </row>
    <row r="137" customFormat="false" ht="15" hidden="false" customHeight="false" outlineLevel="0" collapsed="false">
      <c r="A137" s="10"/>
      <c r="B137" s="10"/>
      <c r="C137" s="17"/>
      <c r="D137" s="10"/>
      <c r="E137" s="10"/>
      <c r="F137" s="18" t="n">
        <f aca="false">IF(A137="",0,COUNTIF(Week!$B$6:$E$12,A137))</f>
        <v>0</v>
      </c>
      <c r="G137" s="19" t="n">
        <f aca="false">IF(A137="",1,IFERROR(IF(N(INDEX(Meals!$B$6:$B$65,MATCH(A137,Meals!$A$6:$A$65,0)))&gt;0,Week!$B$3/INDEX(Meals!$B$6:$B$65,MATCH(A137,Meals!$A$6:$A$65,0)),1),1))</f>
        <v>1</v>
      </c>
      <c r="H137" s="19" t="n">
        <f aca="false">IF(OR(B137="",F137=0),0,N(C137)*F137*G137)</f>
        <v>0</v>
      </c>
      <c r="I137" s="20" t="str">
        <f aca="false">IF(B137="","",LOWER(TRIM(B137))&amp;" | "&amp;LOWER(TRIM(D137)))</f>
        <v/>
      </c>
      <c r="J137" s="18" t="str">
        <f aca="false">IF(H137&lt;=0,"",IF(COUNTIFS(I$5:I136,I137,H$5:H136,"&gt;0")=0,IFERROR(MATCH(E137,Lists!$A$2:$A$8,0),7)*10000+ROW(),""))</f>
        <v/>
      </c>
    </row>
    <row r="138" customFormat="false" ht="15" hidden="false" customHeight="false" outlineLevel="0" collapsed="false">
      <c r="A138" s="10"/>
      <c r="B138" s="10"/>
      <c r="C138" s="17"/>
      <c r="D138" s="10"/>
      <c r="E138" s="10"/>
      <c r="F138" s="18" t="n">
        <f aca="false">IF(A138="",0,COUNTIF(Week!$B$6:$E$12,A138))</f>
        <v>0</v>
      </c>
      <c r="G138" s="19" t="n">
        <f aca="false">IF(A138="",1,IFERROR(IF(N(INDEX(Meals!$B$6:$B$65,MATCH(A138,Meals!$A$6:$A$65,0)))&gt;0,Week!$B$3/INDEX(Meals!$B$6:$B$65,MATCH(A138,Meals!$A$6:$A$65,0)),1),1))</f>
        <v>1</v>
      </c>
      <c r="H138" s="19" t="n">
        <f aca="false">IF(OR(B138="",F138=0),0,N(C138)*F138*G138)</f>
        <v>0</v>
      </c>
      <c r="I138" s="20" t="str">
        <f aca="false">IF(B138="","",LOWER(TRIM(B138))&amp;" | "&amp;LOWER(TRIM(D138)))</f>
        <v/>
      </c>
      <c r="J138" s="18" t="str">
        <f aca="false">IF(H138&lt;=0,"",IF(COUNTIFS(I$5:I137,I138,H$5:H137,"&gt;0")=0,IFERROR(MATCH(E138,Lists!$A$2:$A$8,0),7)*10000+ROW(),""))</f>
        <v/>
      </c>
    </row>
    <row r="139" customFormat="false" ht="15" hidden="false" customHeight="false" outlineLevel="0" collapsed="false">
      <c r="A139" s="10"/>
      <c r="B139" s="10"/>
      <c r="C139" s="17"/>
      <c r="D139" s="10"/>
      <c r="E139" s="10"/>
      <c r="F139" s="18" t="n">
        <f aca="false">IF(A139="",0,COUNTIF(Week!$B$6:$E$12,A139))</f>
        <v>0</v>
      </c>
      <c r="G139" s="19" t="n">
        <f aca="false">IF(A139="",1,IFERROR(IF(N(INDEX(Meals!$B$6:$B$65,MATCH(A139,Meals!$A$6:$A$65,0)))&gt;0,Week!$B$3/INDEX(Meals!$B$6:$B$65,MATCH(A139,Meals!$A$6:$A$65,0)),1),1))</f>
        <v>1</v>
      </c>
      <c r="H139" s="19" t="n">
        <f aca="false">IF(OR(B139="",F139=0),0,N(C139)*F139*G139)</f>
        <v>0</v>
      </c>
      <c r="I139" s="20" t="str">
        <f aca="false">IF(B139="","",LOWER(TRIM(B139))&amp;" | "&amp;LOWER(TRIM(D139)))</f>
        <v/>
      </c>
      <c r="J139" s="18" t="str">
        <f aca="false">IF(H139&lt;=0,"",IF(COUNTIFS(I$5:I138,I139,H$5:H138,"&gt;0")=0,IFERROR(MATCH(E139,Lists!$A$2:$A$8,0),7)*10000+ROW(),""))</f>
        <v/>
      </c>
    </row>
    <row r="140" customFormat="false" ht="15" hidden="false" customHeight="false" outlineLevel="0" collapsed="false">
      <c r="A140" s="10"/>
      <c r="B140" s="10"/>
      <c r="C140" s="17"/>
      <c r="D140" s="10"/>
      <c r="E140" s="10"/>
      <c r="F140" s="18" t="n">
        <f aca="false">IF(A140="",0,COUNTIF(Week!$B$6:$E$12,A140))</f>
        <v>0</v>
      </c>
      <c r="G140" s="19" t="n">
        <f aca="false">IF(A140="",1,IFERROR(IF(N(INDEX(Meals!$B$6:$B$65,MATCH(A140,Meals!$A$6:$A$65,0)))&gt;0,Week!$B$3/INDEX(Meals!$B$6:$B$65,MATCH(A140,Meals!$A$6:$A$65,0)),1),1))</f>
        <v>1</v>
      </c>
      <c r="H140" s="19" t="n">
        <f aca="false">IF(OR(B140="",F140=0),0,N(C140)*F140*G140)</f>
        <v>0</v>
      </c>
      <c r="I140" s="20" t="str">
        <f aca="false">IF(B140="","",LOWER(TRIM(B140))&amp;" | "&amp;LOWER(TRIM(D140)))</f>
        <v/>
      </c>
      <c r="J140" s="18" t="str">
        <f aca="false">IF(H140&lt;=0,"",IF(COUNTIFS(I$5:I139,I140,H$5:H139,"&gt;0")=0,IFERROR(MATCH(E140,Lists!$A$2:$A$8,0),7)*10000+ROW(),""))</f>
        <v/>
      </c>
    </row>
    <row r="141" customFormat="false" ht="15" hidden="false" customHeight="false" outlineLevel="0" collapsed="false">
      <c r="A141" s="10"/>
      <c r="B141" s="10"/>
      <c r="C141" s="17"/>
      <c r="D141" s="10"/>
      <c r="E141" s="10"/>
      <c r="F141" s="18" t="n">
        <f aca="false">IF(A141="",0,COUNTIF(Week!$B$6:$E$12,A141))</f>
        <v>0</v>
      </c>
      <c r="G141" s="19" t="n">
        <f aca="false">IF(A141="",1,IFERROR(IF(N(INDEX(Meals!$B$6:$B$65,MATCH(A141,Meals!$A$6:$A$65,0)))&gt;0,Week!$B$3/INDEX(Meals!$B$6:$B$65,MATCH(A141,Meals!$A$6:$A$65,0)),1),1))</f>
        <v>1</v>
      </c>
      <c r="H141" s="19" t="n">
        <f aca="false">IF(OR(B141="",F141=0),0,N(C141)*F141*G141)</f>
        <v>0</v>
      </c>
      <c r="I141" s="20" t="str">
        <f aca="false">IF(B141="","",LOWER(TRIM(B141))&amp;" | "&amp;LOWER(TRIM(D141)))</f>
        <v/>
      </c>
      <c r="J141" s="18" t="str">
        <f aca="false">IF(H141&lt;=0,"",IF(COUNTIFS(I$5:I140,I141,H$5:H140,"&gt;0")=0,IFERROR(MATCH(E141,Lists!$A$2:$A$8,0),7)*10000+ROW(),""))</f>
        <v/>
      </c>
    </row>
    <row r="142" customFormat="false" ht="15" hidden="false" customHeight="false" outlineLevel="0" collapsed="false">
      <c r="A142" s="10"/>
      <c r="B142" s="10"/>
      <c r="C142" s="17"/>
      <c r="D142" s="10"/>
      <c r="E142" s="10"/>
      <c r="F142" s="18" t="n">
        <f aca="false">IF(A142="",0,COUNTIF(Week!$B$6:$E$12,A142))</f>
        <v>0</v>
      </c>
      <c r="G142" s="19" t="n">
        <f aca="false">IF(A142="",1,IFERROR(IF(N(INDEX(Meals!$B$6:$B$65,MATCH(A142,Meals!$A$6:$A$65,0)))&gt;0,Week!$B$3/INDEX(Meals!$B$6:$B$65,MATCH(A142,Meals!$A$6:$A$65,0)),1),1))</f>
        <v>1</v>
      </c>
      <c r="H142" s="19" t="n">
        <f aca="false">IF(OR(B142="",F142=0),0,N(C142)*F142*G142)</f>
        <v>0</v>
      </c>
      <c r="I142" s="20" t="str">
        <f aca="false">IF(B142="","",LOWER(TRIM(B142))&amp;" | "&amp;LOWER(TRIM(D142)))</f>
        <v/>
      </c>
      <c r="J142" s="18" t="str">
        <f aca="false">IF(H142&lt;=0,"",IF(COUNTIFS(I$5:I141,I142,H$5:H141,"&gt;0")=0,IFERROR(MATCH(E142,Lists!$A$2:$A$8,0),7)*10000+ROW(),""))</f>
        <v/>
      </c>
    </row>
    <row r="143" customFormat="false" ht="15" hidden="false" customHeight="false" outlineLevel="0" collapsed="false">
      <c r="A143" s="10"/>
      <c r="B143" s="10"/>
      <c r="C143" s="17"/>
      <c r="D143" s="10"/>
      <c r="E143" s="10"/>
      <c r="F143" s="18" t="n">
        <f aca="false">IF(A143="",0,COUNTIF(Week!$B$6:$E$12,A143))</f>
        <v>0</v>
      </c>
      <c r="G143" s="19" t="n">
        <f aca="false">IF(A143="",1,IFERROR(IF(N(INDEX(Meals!$B$6:$B$65,MATCH(A143,Meals!$A$6:$A$65,0)))&gt;0,Week!$B$3/INDEX(Meals!$B$6:$B$65,MATCH(A143,Meals!$A$6:$A$65,0)),1),1))</f>
        <v>1</v>
      </c>
      <c r="H143" s="19" t="n">
        <f aca="false">IF(OR(B143="",F143=0),0,N(C143)*F143*G143)</f>
        <v>0</v>
      </c>
      <c r="I143" s="20" t="str">
        <f aca="false">IF(B143="","",LOWER(TRIM(B143))&amp;" | "&amp;LOWER(TRIM(D143)))</f>
        <v/>
      </c>
      <c r="J143" s="18" t="str">
        <f aca="false">IF(H143&lt;=0,"",IF(COUNTIFS(I$5:I142,I143,H$5:H142,"&gt;0")=0,IFERROR(MATCH(E143,Lists!$A$2:$A$8,0),7)*10000+ROW(),""))</f>
        <v/>
      </c>
    </row>
    <row r="144" customFormat="false" ht="15" hidden="false" customHeight="false" outlineLevel="0" collapsed="false">
      <c r="A144" s="10"/>
      <c r="B144" s="10"/>
      <c r="C144" s="17"/>
      <c r="D144" s="10"/>
      <c r="E144" s="10"/>
      <c r="F144" s="18" t="n">
        <f aca="false">IF(A144="",0,COUNTIF(Week!$B$6:$E$12,A144))</f>
        <v>0</v>
      </c>
      <c r="G144" s="19" t="n">
        <f aca="false">IF(A144="",1,IFERROR(IF(N(INDEX(Meals!$B$6:$B$65,MATCH(A144,Meals!$A$6:$A$65,0)))&gt;0,Week!$B$3/INDEX(Meals!$B$6:$B$65,MATCH(A144,Meals!$A$6:$A$65,0)),1),1))</f>
        <v>1</v>
      </c>
      <c r="H144" s="19" t="n">
        <f aca="false">IF(OR(B144="",F144=0),0,N(C144)*F144*G144)</f>
        <v>0</v>
      </c>
      <c r="I144" s="20" t="str">
        <f aca="false">IF(B144="","",LOWER(TRIM(B144))&amp;" | "&amp;LOWER(TRIM(D144)))</f>
        <v/>
      </c>
      <c r="J144" s="18" t="str">
        <f aca="false">IF(H144&lt;=0,"",IF(COUNTIFS(I$5:I143,I144,H$5:H143,"&gt;0")=0,IFERROR(MATCH(E144,Lists!$A$2:$A$8,0),7)*10000+ROW(),""))</f>
        <v/>
      </c>
    </row>
    <row r="145" customFormat="false" ht="15" hidden="false" customHeight="false" outlineLevel="0" collapsed="false">
      <c r="A145" s="10"/>
      <c r="B145" s="10"/>
      <c r="C145" s="17"/>
      <c r="D145" s="10"/>
      <c r="E145" s="10"/>
      <c r="F145" s="18" t="n">
        <f aca="false">IF(A145="",0,COUNTIF(Week!$B$6:$E$12,A145))</f>
        <v>0</v>
      </c>
      <c r="G145" s="19" t="n">
        <f aca="false">IF(A145="",1,IFERROR(IF(N(INDEX(Meals!$B$6:$B$65,MATCH(A145,Meals!$A$6:$A$65,0)))&gt;0,Week!$B$3/INDEX(Meals!$B$6:$B$65,MATCH(A145,Meals!$A$6:$A$65,0)),1),1))</f>
        <v>1</v>
      </c>
      <c r="H145" s="19" t="n">
        <f aca="false">IF(OR(B145="",F145=0),0,N(C145)*F145*G145)</f>
        <v>0</v>
      </c>
      <c r="I145" s="20" t="str">
        <f aca="false">IF(B145="","",LOWER(TRIM(B145))&amp;" | "&amp;LOWER(TRIM(D145)))</f>
        <v/>
      </c>
      <c r="J145" s="18" t="str">
        <f aca="false">IF(H145&lt;=0,"",IF(COUNTIFS(I$5:I144,I145,H$5:H144,"&gt;0")=0,IFERROR(MATCH(E145,Lists!$A$2:$A$8,0),7)*10000+ROW(),""))</f>
        <v/>
      </c>
    </row>
    <row r="146" customFormat="false" ht="15" hidden="false" customHeight="false" outlineLevel="0" collapsed="false">
      <c r="A146" s="10"/>
      <c r="B146" s="10"/>
      <c r="C146" s="17"/>
      <c r="D146" s="10"/>
      <c r="E146" s="10"/>
      <c r="F146" s="18" t="n">
        <f aca="false">IF(A146="",0,COUNTIF(Week!$B$6:$E$12,A146))</f>
        <v>0</v>
      </c>
      <c r="G146" s="19" t="n">
        <f aca="false">IF(A146="",1,IFERROR(IF(N(INDEX(Meals!$B$6:$B$65,MATCH(A146,Meals!$A$6:$A$65,0)))&gt;0,Week!$B$3/INDEX(Meals!$B$6:$B$65,MATCH(A146,Meals!$A$6:$A$65,0)),1),1))</f>
        <v>1</v>
      </c>
      <c r="H146" s="19" t="n">
        <f aca="false">IF(OR(B146="",F146=0),0,N(C146)*F146*G146)</f>
        <v>0</v>
      </c>
      <c r="I146" s="20" t="str">
        <f aca="false">IF(B146="","",LOWER(TRIM(B146))&amp;" | "&amp;LOWER(TRIM(D146)))</f>
        <v/>
      </c>
      <c r="J146" s="18" t="str">
        <f aca="false">IF(H146&lt;=0,"",IF(COUNTIFS(I$5:I145,I146,H$5:H145,"&gt;0")=0,IFERROR(MATCH(E146,Lists!$A$2:$A$8,0),7)*10000+ROW(),""))</f>
        <v/>
      </c>
    </row>
    <row r="147" customFormat="false" ht="15" hidden="false" customHeight="false" outlineLevel="0" collapsed="false">
      <c r="A147" s="10"/>
      <c r="B147" s="10"/>
      <c r="C147" s="17"/>
      <c r="D147" s="10"/>
      <c r="E147" s="10"/>
      <c r="F147" s="18" t="n">
        <f aca="false">IF(A147="",0,COUNTIF(Week!$B$6:$E$12,A147))</f>
        <v>0</v>
      </c>
      <c r="G147" s="19" t="n">
        <f aca="false">IF(A147="",1,IFERROR(IF(N(INDEX(Meals!$B$6:$B$65,MATCH(A147,Meals!$A$6:$A$65,0)))&gt;0,Week!$B$3/INDEX(Meals!$B$6:$B$65,MATCH(A147,Meals!$A$6:$A$65,0)),1),1))</f>
        <v>1</v>
      </c>
      <c r="H147" s="19" t="n">
        <f aca="false">IF(OR(B147="",F147=0),0,N(C147)*F147*G147)</f>
        <v>0</v>
      </c>
      <c r="I147" s="20" t="str">
        <f aca="false">IF(B147="","",LOWER(TRIM(B147))&amp;" | "&amp;LOWER(TRIM(D147)))</f>
        <v/>
      </c>
      <c r="J147" s="18" t="str">
        <f aca="false">IF(H147&lt;=0,"",IF(COUNTIFS(I$5:I146,I147,H$5:H146,"&gt;0")=0,IFERROR(MATCH(E147,Lists!$A$2:$A$8,0),7)*10000+ROW(),""))</f>
        <v/>
      </c>
    </row>
    <row r="148" customFormat="false" ht="15" hidden="false" customHeight="false" outlineLevel="0" collapsed="false">
      <c r="A148" s="10"/>
      <c r="B148" s="10"/>
      <c r="C148" s="17"/>
      <c r="D148" s="10"/>
      <c r="E148" s="10"/>
      <c r="F148" s="18" t="n">
        <f aca="false">IF(A148="",0,COUNTIF(Week!$B$6:$E$12,A148))</f>
        <v>0</v>
      </c>
      <c r="G148" s="19" t="n">
        <f aca="false">IF(A148="",1,IFERROR(IF(N(INDEX(Meals!$B$6:$B$65,MATCH(A148,Meals!$A$6:$A$65,0)))&gt;0,Week!$B$3/INDEX(Meals!$B$6:$B$65,MATCH(A148,Meals!$A$6:$A$65,0)),1),1))</f>
        <v>1</v>
      </c>
      <c r="H148" s="19" t="n">
        <f aca="false">IF(OR(B148="",F148=0),0,N(C148)*F148*G148)</f>
        <v>0</v>
      </c>
      <c r="I148" s="20" t="str">
        <f aca="false">IF(B148="","",LOWER(TRIM(B148))&amp;" | "&amp;LOWER(TRIM(D148)))</f>
        <v/>
      </c>
      <c r="J148" s="18" t="str">
        <f aca="false">IF(H148&lt;=0,"",IF(COUNTIFS(I$5:I147,I148,H$5:H147,"&gt;0")=0,IFERROR(MATCH(E148,Lists!$A$2:$A$8,0),7)*10000+ROW(),""))</f>
        <v/>
      </c>
    </row>
    <row r="149" customFormat="false" ht="15" hidden="false" customHeight="false" outlineLevel="0" collapsed="false">
      <c r="A149" s="10"/>
      <c r="B149" s="10"/>
      <c r="C149" s="17"/>
      <c r="D149" s="10"/>
      <c r="E149" s="10"/>
      <c r="F149" s="18" t="n">
        <f aca="false">IF(A149="",0,COUNTIF(Week!$B$6:$E$12,A149))</f>
        <v>0</v>
      </c>
      <c r="G149" s="19" t="n">
        <f aca="false">IF(A149="",1,IFERROR(IF(N(INDEX(Meals!$B$6:$B$65,MATCH(A149,Meals!$A$6:$A$65,0)))&gt;0,Week!$B$3/INDEX(Meals!$B$6:$B$65,MATCH(A149,Meals!$A$6:$A$65,0)),1),1))</f>
        <v>1</v>
      </c>
      <c r="H149" s="19" t="n">
        <f aca="false">IF(OR(B149="",F149=0),0,N(C149)*F149*G149)</f>
        <v>0</v>
      </c>
      <c r="I149" s="20" t="str">
        <f aca="false">IF(B149="","",LOWER(TRIM(B149))&amp;" | "&amp;LOWER(TRIM(D149)))</f>
        <v/>
      </c>
      <c r="J149" s="18" t="str">
        <f aca="false">IF(H149&lt;=0,"",IF(COUNTIFS(I$5:I148,I149,H$5:H148,"&gt;0")=0,IFERROR(MATCH(E149,Lists!$A$2:$A$8,0),7)*10000+ROW(),""))</f>
        <v/>
      </c>
    </row>
    <row r="150" customFormat="false" ht="15" hidden="false" customHeight="false" outlineLevel="0" collapsed="false">
      <c r="A150" s="10"/>
      <c r="B150" s="10"/>
      <c r="C150" s="17"/>
      <c r="D150" s="10"/>
      <c r="E150" s="10"/>
      <c r="F150" s="18" t="n">
        <f aca="false">IF(A150="",0,COUNTIF(Week!$B$6:$E$12,A150))</f>
        <v>0</v>
      </c>
      <c r="G150" s="19" t="n">
        <f aca="false">IF(A150="",1,IFERROR(IF(N(INDEX(Meals!$B$6:$B$65,MATCH(A150,Meals!$A$6:$A$65,0)))&gt;0,Week!$B$3/INDEX(Meals!$B$6:$B$65,MATCH(A150,Meals!$A$6:$A$65,0)),1),1))</f>
        <v>1</v>
      </c>
      <c r="H150" s="19" t="n">
        <f aca="false">IF(OR(B150="",F150=0),0,N(C150)*F150*G150)</f>
        <v>0</v>
      </c>
      <c r="I150" s="20" t="str">
        <f aca="false">IF(B150="","",LOWER(TRIM(B150))&amp;" | "&amp;LOWER(TRIM(D150)))</f>
        <v/>
      </c>
      <c r="J150" s="18" t="str">
        <f aca="false">IF(H150&lt;=0,"",IF(COUNTIFS(I$5:I149,I150,H$5:H149,"&gt;0")=0,IFERROR(MATCH(E150,Lists!$A$2:$A$8,0),7)*10000+ROW(),""))</f>
        <v/>
      </c>
    </row>
    <row r="151" customFormat="false" ht="15" hidden="false" customHeight="false" outlineLevel="0" collapsed="false">
      <c r="A151" s="10"/>
      <c r="B151" s="10"/>
      <c r="C151" s="17"/>
      <c r="D151" s="10"/>
      <c r="E151" s="10"/>
      <c r="F151" s="18" t="n">
        <f aca="false">IF(A151="",0,COUNTIF(Week!$B$6:$E$12,A151))</f>
        <v>0</v>
      </c>
      <c r="G151" s="19" t="n">
        <f aca="false">IF(A151="",1,IFERROR(IF(N(INDEX(Meals!$B$6:$B$65,MATCH(A151,Meals!$A$6:$A$65,0)))&gt;0,Week!$B$3/INDEX(Meals!$B$6:$B$65,MATCH(A151,Meals!$A$6:$A$65,0)),1),1))</f>
        <v>1</v>
      </c>
      <c r="H151" s="19" t="n">
        <f aca="false">IF(OR(B151="",F151=0),0,N(C151)*F151*G151)</f>
        <v>0</v>
      </c>
      <c r="I151" s="20" t="str">
        <f aca="false">IF(B151="","",LOWER(TRIM(B151))&amp;" | "&amp;LOWER(TRIM(D151)))</f>
        <v/>
      </c>
      <c r="J151" s="18" t="str">
        <f aca="false">IF(H151&lt;=0,"",IF(COUNTIFS(I$5:I150,I151,H$5:H150,"&gt;0")=0,IFERROR(MATCH(E151,Lists!$A$2:$A$8,0),7)*10000+ROW(),""))</f>
        <v/>
      </c>
    </row>
    <row r="152" customFormat="false" ht="15" hidden="false" customHeight="false" outlineLevel="0" collapsed="false">
      <c r="A152" s="10"/>
      <c r="B152" s="10"/>
      <c r="C152" s="17"/>
      <c r="D152" s="10"/>
      <c r="E152" s="10"/>
      <c r="F152" s="18" t="n">
        <f aca="false">IF(A152="",0,COUNTIF(Week!$B$6:$E$12,A152))</f>
        <v>0</v>
      </c>
      <c r="G152" s="19" t="n">
        <f aca="false">IF(A152="",1,IFERROR(IF(N(INDEX(Meals!$B$6:$B$65,MATCH(A152,Meals!$A$6:$A$65,0)))&gt;0,Week!$B$3/INDEX(Meals!$B$6:$B$65,MATCH(A152,Meals!$A$6:$A$65,0)),1),1))</f>
        <v>1</v>
      </c>
      <c r="H152" s="19" t="n">
        <f aca="false">IF(OR(B152="",F152=0),0,N(C152)*F152*G152)</f>
        <v>0</v>
      </c>
      <c r="I152" s="20" t="str">
        <f aca="false">IF(B152="","",LOWER(TRIM(B152))&amp;" | "&amp;LOWER(TRIM(D152)))</f>
        <v/>
      </c>
      <c r="J152" s="18" t="str">
        <f aca="false">IF(H152&lt;=0,"",IF(COUNTIFS(I$5:I151,I152,H$5:H151,"&gt;0")=0,IFERROR(MATCH(E152,Lists!$A$2:$A$8,0),7)*10000+ROW(),""))</f>
        <v/>
      </c>
    </row>
    <row r="153" customFormat="false" ht="15" hidden="false" customHeight="false" outlineLevel="0" collapsed="false">
      <c r="A153" s="10"/>
      <c r="B153" s="10"/>
      <c r="C153" s="17"/>
      <c r="D153" s="10"/>
      <c r="E153" s="10"/>
      <c r="F153" s="18" t="n">
        <f aca="false">IF(A153="",0,COUNTIF(Week!$B$6:$E$12,A153))</f>
        <v>0</v>
      </c>
      <c r="G153" s="19" t="n">
        <f aca="false">IF(A153="",1,IFERROR(IF(N(INDEX(Meals!$B$6:$B$65,MATCH(A153,Meals!$A$6:$A$65,0)))&gt;0,Week!$B$3/INDEX(Meals!$B$6:$B$65,MATCH(A153,Meals!$A$6:$A$65,0)),1),1))</f>
        <v>1</v>
      </c>
      <c r="H153" s="19" t="n">
        <f aca="false">IF(OR(B153="",F153=0),0,N(C153)*F153*G153)</f>
        <v>0</v>
      </c>
      <c r="I153" s="20" t="str">
        <f aca="false">IF(B153="","",LOWER(TRIM(B153))&amp;" | "&amp;LOWER(TRIM(D153)))</f>
        <v/>
      </c>
      <c r="J153" s="18" t="str">
        <f aca="false">IF(H153&lt;=0,"",IF(COUNTIFS(I$5:I152,I153,H$5:H152,"&gt;0")=0,IFERROR(MATCH(E153,Lists!$A$2:$A$8,0),7)*10000+ROW(),""))</f>
        <v/>
      </c>
    </row>
    <row r="154" customFormat="false" ht="15" hidden="false" customHeight="false" outlineLevel="0" collapsed="false">
      <c r="A154" s="10"/>
      <c r="B154" s="10"/>
      <c r="C154" s="17"/>
      <c r="D154" s="10"/>
      <c r="E154" s="10"/>
      <c r="F154" s="18" t="n">
        <f aca="false">IF(A154="",0,COUNTIF(Week!$B$6:$E$12,A154))</f>
        <v>0</v>
      </c>
      <c r="G154" s="19" t="n">
        <f aca="false">IF(A154="",1,IFERROR(IF(N(INDEX(Meals!$B$6:$B$65,MATCH(A154,Meals!$A$6:$A$65,0)))&gt;0,Week!$B$3/INDEX(Meals!$B$6:$B$65,MATCH(A154,Meals!$A$6:$A$65,0)),1),1))</f>
        <v>1</v>
      </c>
      <c r="H154" s="19" t="n">
        <f aca="false">IF(OR(B154="",F154=0),0,N(C154)*F154*G154)</f>
        <v>0</v>
      </c>
      <c r="I154" s="20" t="str">
        <f aca="false">IF(B154="","",LOWER(TRIM(B154))&amp;" | "&amp;LOWER(TRIM(D154)))</f>
        <v/>
      </c>
      <c r="J154" s="18" t="str">
        <f aca="false">IF(H154&lt;=0,"",IF(COUNTIFS(I$5:I153,I154,H$5:H153,"&gt;0")=0,IFERROR(MATCH(E154,Lists!$A$2:$A$8,0),7)*10000+ROW(),""))</f>
        <v/>
      </c>
    </row>
    <row r="155" customFormat="false" ht="15" hidden="false" customHeight="false" outlineLevel="0" collapsed="false">
      <c r="A155" s="10"/>
      <c r="B155" s="10"/>
      <c r="C155" s="17"/>
      <c r="D155" s="10"/>
      <c r="E155" s="10"/>
      <c r="F155" s="18" t="n">
        <f aca="false">IF(A155="",0,COUNTIF(Week!$B$6:$E$12,A155))</f>
        <v>0</v>
      </c>
      <c r="G155" s="19" t="n">
        <f aca="false">IF(A155="",1,IFERROR(IF(N(INDEX(Meals!$B$6:$B$65,MATCH(A155,Meals!$A$6:$A$65,0)))&gt;0,Week!$B$3/INDEX(Meals!$B$6:$B$65,MATCH(A155,Meals!$A$6:$A$65,0)),1),1))</f>
        <v>1</v>
      </c>
      <c r="H155" s="19" t="n">
        <f aca="false">IF(OR(B155="",F155=0),0,N(C155)*F155*G155)</f>
        <v>0</v>
      </c>
      <c r="I155" s="20" t="str">
        <f aca="false">IF(B155="","",LOWER(TRIM(B155))&amp;" | "&amp;LOWER(TRIM(D155)))</f>
        <v/>
      </c>
      <c r="J155" s="18" t="str">
        <f aca="false">IF(H155&lt;=0,"",IF(COUNTIFS(I$5:I154,I155,H$5:H154,"&gt;0")=0,IFERROR(MATCH(E155,Lists!$A$2:$A$8,0),7)*10000+ROW(),""))</f>
        <v/>
      </c>
    </row>
    <row r="156" customFormat="false" ht="15" hidden="false" customHeight="false" outlineLevel="0" collapsed="false">
      <c r="A156" s="10"/>
      <c r="B156" s="10"/>
      <c r="C156" s="17"/>
      <c r="D156" s="10"/>
      <c r="E156" s="10"/>
      <c r="F156" s="18" t="n">
        <f aca="false">IF(A156="",0,COUNTIF(Week!$B$6:$E$12,A156))</f>
        <v>0</v>
      </c>
      <c r="G156" s="19" t="n">
        <f aca="false">IF(A156="",1,IFERROR(IF(N(INDEX(Meals!$B$6:$B$65,MATCH(A156,Meals!$A$6:$A$65,0)))&gt;0,Week!$B$3/INDEX(Meals!$B$6:$B$65,MATCH(A156,Meals!$A$6:$A$65,0)),1),1))</f>
        <v>1</v>
      </c>
      <c r="H156" s="19" t="n">
        <f aca="false">IF(OR(B156="",F156=0),0,N(C156)*F156*G156)</f>
        <v>0</v>
      </c>
      <c r="I156" s="20" t="str">
        <f aca="false">IF(B156="","",LOWER(TRIM(B156))&amp;" | "&amp;LOWER(TRIM(D156)))</f>
        <v/>
      </c>
      <c r="J156" s="18" t="str">
        <f aca="false">IF(H156&lt;=0,"",IF(COUNTIFS(I$5:I155,I156,H$5:H155,"&gt;0")=0,IFERROR(MATCH(E156,Lists!$A$2:$A$8,0),7)*10000+ROW(),""))</f>
        <v/>
      </c>
    </row>
    <row r="157" customFormat="false" ht="15" hidden="false" customHeight="false" outlineLevel="0" collapsed="false">
      <c r="A157" s="10"/>
      <c r="B157" s="10"/>
      <c r="C157" s="17"/>
      <c r="D157" s="10"/>
      <c r="E157" s="10"/>
      <c r="F157" s="18" t="n">
        <f aca="false">IF(A157="",0,COUNTIF(Week!$B$6:$E$12,A157))</f>
        <v>0</v>
      </c>
      <c r="G157" s="19" t="n">
        <f aca="false">IF(A157="",1,IFERROR(IF(N(INDEX(Meals!$B$6:$B$65,MATCH(A157,Meals!$A$6:$A$65,0)))&gt;0,Week!$B$3/INDEX(Meals!$B$6:$B$65,MATCH(A157,Meals!$A$6:$A$65,0)),1),1))</f>
        <v>1</v>
      </c>
      <c r="H157" s="19" t="n">
        <f aca="false">IF(OR(B157="",F157=0),0,N(C157)*F157*G157)</f>
        <v>0</v>
      </c>
      <c r="I157" s="20" t="str">
        <f aca="false">IF(B157="","",LOWER(TRIM(B157))&amp;" | "&amp;LOWER(TRIM(D157)))</f>
        <v/>
      </c>
      <c r="J157" s="18" t="str">
        <f aca="false">IF(H157&lt;=0,"",IF(COUNTIFS(I$5:I156,I157,H$5:H156,"&gt;0")=0,IFERROR(MATCH(E157,Lists!$A$2:$A$8,0),7)*10000+ROW(),""))</f>
        <v/>
      </c>
    </row>
    <row r="158" customFormat="false" ht="15" hidden="false" customHeight="false" outlineLevel="0" collapsed="false">
      <c r="A158" s="10"/>
      <c r="B158" s="10"/>
      <c r="C158" s="17"/>
      <c r="D158" s="10"/>
      <c r="E158" s="10"/>
      <c r="F158" s="18" t="n">
        <f aca="false">IF(A158="",0,COUNTIF(Week!$B$6:$E$12,A158))</f>
        <v>0</v>
      </c>
      <c r="G158" s="19" t="n">
        <f aca="false">IF(A158="",1,IFERROR(IF(N(INDEX(Meals!$B$6:$B$65,MATCH(A158,Meals!$A$6:$A$65,0)))&gt;0,Week!$B$3/INDEX(Meals!$B$6:$B$65,MATCH(A158,Meals!$A$6:$A$65,0)),1),1))</f>
        <v>1</v>
      </c>
      <c r="H158" s="19" t="n">
        <f aca="false">IF(OR(B158="",F158=0),0,N(C158)*F158*G158)</f>
        <v>0</v>
      </c>
      <c r="I158" s="20" t="str">
        <f aca="false">IF(B158="","",LOWER(TRIM(B158))&amp;" | "&amp;LOWER(TRIM(D158)))</f>
        <v/>
      </c>
      <c r="J158" s="18" t="str">
        <f aca="false">IF(H158&lt;=0,"",IF(COUNTIFS(I$5:I157,I158,H$5:H157,"&gt;0")=0,IFERROR(MATCH(E158,Lists!$A$2:$A$8,0),7)*10000+ROW(),""))</f>
        <v/>
      </c>
    </row>
    <row r="159" customFormat="false" ht="15" hidden="false" customHeight="false" outlineLevel="0" collapsed="false">
      <c r="A159" s="10"/>
      <c r="B159" s="10"/>
      <c r="C159" s="17"/>
      <c r="D159" s="10"/>
      <c r="E159" s="10"/>
      <c r="F159" s="18" t="n">
        <f aca="false">IF(A159="",0,COUNTIF(Week!$B$6:$E$12,A159))</f>
        <v>0</v>
      </c>
      <c r="G159" s="19" t="n">
        <f aca="false">IF(A159="",1,IFERROR(IF(N(INDEX(Meals!$B$6:$B$65,MATCH(A159,Meals!$A$6:$A$65,0)))&gt;0,Week!$B$3/INDEX(Meals!$B$6:$B$65,MATCH(A159,Meals!$A$6:$A$65,0)),1),1))</f>
        <v>1</v>
      </c>
      <c r="H159" s="19" t="n">
        <f aca="false">IF(OR(B159="",F159=0),0,N(C159)*F159*G159)</f>
        <v>0</v>
      </c>
      <c r="I159" s="20" t="str">
        <f aca="false">IF(B159="","",LOWER(TRIM(B159))&amp;" | "&amp;LOWER(TRIM(D159)))</f>
        <v/>
      </c>
      <c r="J159" s="18" t="str">
        <f aca="false">IF(H159&lt;=0,"",IF(COUNTIFS(I$5:I158,I159,H$5:H158,"&gt;0")=0,IFERROR(MATCH(E159,Lists!$A$2:$A$8,0),7)*10000+ROW(),""))</f>
        <v/>
      </c>
    </row>
    <row r="160" customFormat="false" ht="15" hidden="false" customHeight="false" outlineLevel="0" collapsed="false">
      <c r="A160" s="10"/>
      <c r="B160" s="10"/>
      <c r="C160" s="17"/>
      <c r="D160" s="10"/>
      <c r="E160" s="10"/>
      <c r="F160" s="18" t="n">
        <f aca="false">IF(A160="",0,COUNTIF(Week!$B$6:$E$12,A160))</f>
        <v>0</v>
      </c>
      <c r="G160" s="19" t="n">
        <f aca="false">IF(A160="",1,IFERROR(IF(N(INDEX(Meals!$B$6:$B$65,MATCH(A160,Meals!$A$6:$A$65,0)))&gt;0,Week!$B$3/INDEX(Meals!$B$6:$B$65,MATCH(A160,Meals!$A$6:$A$65,0)),1),1))</f>
        <v>1</v>
      </c>
      <c r="H160" s="19" t="n">
        <f aca="false">IF(OR(B160="",F160=0),0,N(C160)*F160*G160)</f>
        <v>0</v>
      </c>
      <c r="I160" s="20" t="str">
        <f aca="false">IF(B160="","",LOWER(TRIM(B160))&amp;" | "&amp;LOWER(TRIM(D160)))</f>
        <v/>
      </c>
      <c r="J160" s="18" t="str">
        <f aca="false">IF(H160&lt;=0,"",IF(COUNTIFS(I$5:I159,I160,H$5:H159,"&gt;0")=0,IFERROR(MATCH(E160,Lists!$A$2:$A$8,0),7)*10000+ROW(),""))</f>
        <v/>
      </c>
    </row>
    <row r="161" customFormat="false" ht="15" hidden="false" customHeight="false" outlineLevel="0" collapsed="false">
      <c r="A161" s="10"/>
      <c r="B161" s="10"/>
      <c r="C161" s="17"/>
      <c r="D161" s="10"/>
      <c r="E161" s="10"/>
      <c r="F161" s="18" t="n">
        <f aca="false">IF(A161="",0,COUNTIF(Week!$B$6:$E$12,A161))</f>
        <v>0</v>
      </c>
      <c r="G161" s="19" t="n">
        <f aca="false">IF(A161="",1,IFERROR(IF(N(INDEX(Meals!$B$6:$B$65,MATCH(A161,Meals!$A$6:$A$65,0)))&gt;0,Week!$B$3/INDEX(Meals!$B$6:$B$65,MATCH(A161,Meals!$A$6:$A$65,0)),1),1))</f>
        <v>1</v>
      </c>
      <c r="H161" s="19" t="n">
        <f aca="false">IF(OR(B161="",F161=0),0,N(C161)*F161*G161)</f>
        <v>0</v>
      </c>
      <c r="I161" s="20" t="str">
        <f aca="false">IF(B161="","",LOWER(TRIM(B161))&amp;" | "&amp;LOWER(TRIM(D161)))</f>
        <v/>
      </c>
      <c r="J161" s="18" t="str">
        <f aca="false">IF(H161&lt;=0,"",IF(COUNTIFS(I$5:I160,I161,H$5:H160,"&gt;0")=0,IFERROR(MATCH(E161,Lists!$A$2:$A$8,0),7)*10000+ROW(),""))</f>
        <v/>
      </c>
    </row>
    <row r="162" customFormat="false" ht="15" hidden="false" customHeight="false" outlineLevel="0" collapsed="false">
      <c r="A162" s="10"/>
      <c r="B162" s="10"/>
      <c r="C162" s="17"/>
      <c r="D162" s="10"/>
      <c r="E162" s="10"/>
      <c r="F162" s="18" t="n">
        <f aca="false">IF(A162="",0,COUNTIF(Week!$B$6:$E$12,A162))</f>
        <v>0</v>
      </c>
      <c r="G162" s="19" t="n">
        <f aca="false">IF(A162="",1,IFERROR(IF(N(INDEX(Meals!$B$6:$B$65,MATCH(A162,Meals!$A$6:$A$65,0)))&gt;0,Week!$B$3/INDEX(Meals!$B$6:$B$65,MATCH(A162,Meals!$A$6:$A$65,0)),1),1))</f>
        <v>1</v>
      </c>
      <c r="H162" s="19" t="n">
        <f aca="false">IF(OR(B162="",F162=0),0,N(C162)*F162*G162)</f>
        <v>0</v>
      </c>
      <c r="I162" s="20" t="str">
        <f aca="false">IF(B162="","",LOWER(TRIM(B162))&amp;" | "&amp;LOWER(TRIM(D162)))</f>
        <v/>
      </c>
      <c r="J162" s="18" t="str">
        <f aca="false">IF(H162&lt;=0,"",IF(COUNTIFS(I$5:I161,I162,H$5:H161,"&gt;0")=0,IFERROR(MATCH(E162,Lists!$A$2:$A$8,0),7)*10000+ROW(),""))</f>
        <v/>
      </c>
    </row>
    <row r="163" customFormat="false" ht="15" hidden="false" customHeight="false" outlineLevel="0" collapsed="false">
      <c r="A163" s="10"/>
      <c r="B163" s="10"/>
      <c r="C163" s="17"/>
      <c r="D163" s="10"/>
      <c r="E163" s="10"/>
      <c r="F163" s="18" t="n">
        <f aca="false">IF(A163="",0,COUNTIF(Week!$B$6:$E$12,A163))</f>
        <v>0</v>
      </c>
      <c r="G163" s="19" t="n">
        <f aca="false">IF(A163="",1,IFERROR(IF(N(INDEX(Meals!$B$6:$B$65,MATCH(A163,Meals!$A$6:$A$65,0)))&gt;0,Week!$B$3/INDEX(Meals!$B$6:$B$65,MATCH(A163,Meals!$A$6:$A$65,0)),1),1))</f>
        <v>1</v>
      </c>
      <c r="H163" s="19" t="n">
        <f aca="false">IF(OR(B163="",F163=0),0,N(C163)*F163*G163)</f>
        <v>0</v>
      </c>
      <c r="I163" s="20" t="str">
        <f aca="false">IF(B163="","",LOWER(TRIM(B163))&amp;" | "&amp;LOWER(TRIM(D163)))</f>
        <v/>
      </c>
      <c r="J163" s="18" t="str">
        <f aca="false">IF(H163&lt;=0,"",IF(COUNTIFS(I$5:I162,I163,H$5:H162,"&gt;0")=0,IFERROR(MATCH(E163,Lists!$A$2:$A$8,0),7)*10000+ROW(),""))</f>
        <v/>
      </c>
    </row>
    <row r="164" customFormat="false" ht="15" hidden="false" customHeight="false" outlineLevel="0" collapsed="false">
      <c r="A164" s="10"/>
      <c r="B164" s="10"/>
      <c r="C164" s="17"/>
      <c r="D164" s="10"/>
      <c r="E164" s="10"/>
      <c r="F164" s="18" t="n">
        <f aca="false">IF(A164="",0,COUNTIF(Week!$B$6:$E$12,A164))</f>
        <v>0</v>
      </c>
      <c r="G164" s="19" t="n">
        <f aca="false">IF(A164="",1,IFERROR(IF(N(INDEX(Meals!$B$6:$B$65,MATCH(A164,Meals!$A$6:$A$65,0)))&gt;0,Week!$B$3/INDEX(Meals!$B$6:$B$65,MATCH(A164,Meals!$A$6:$A$65,0)),1),1))</f>
        <v>1</v>
      </c>
      <c r="H164" s="19" t="n">
        <f aca="false">IF(OR(B164="",F164=0),0,N(C164)*F164*G164)</f>
        <v>0</v>
      </c>
      <c r="I164" s="20" t="str">
        <f aca="false">IF(B164="","",LOWER(TRIM(B164))&amp;" | "&amp;LOWER(TRIM(D164)))</f>
        <v/>
      </c>
      <c r="J164" s="18" t="str">
        <f aca="false">IF(H164&lt;=0,"",IF(COUNTIFS(I$5:I163,I164,H$5:H163,"&gt;0")=0,IFERROR(MATCH(E164,Lists!$A$2:$A$8,0),7)*10000+ROW(),""))</f>
        <v/>
      </c>
    </row>
    <row r="165" customFormat="false" ht="15" hidden="false" customHeight="false" outlineLevel="0" collapsed="false">
      <c r="A165" s="10"/>
      <c r="B165" s="10"/>
      <c r="C165" s="17"/>
      <c r="D165" s="10"/>
      <c r="E165" s="10"/>
      <c r="F165" s="18" t="n">
        <f aca="false">IF(A165="",0,COUNTIF(Week!$B$6:$E$12,A165))</f>
        <v>0</v>
      </c>
      <c r="G165" s="19" t="n">
        <f aca="false">IF(A165="",1,IFERROR(IF(N(INDEX(Meals!$B$6:$B$65,MATCH(A165,Meals!$A$6:$A$65,0)))&gt;0,Week!$B$3/INDEX(Meals!$B$6:$B$65,MATCH(A165,Meals!$A$6:$A$65,0)),1),1))</f>
        <v>1</v>
      </c>
      <c r="H165" s="19" t="n">
        <f aca="false">IF(OR(B165="",F165=0),0,N(C165)*F165*G165)</f>
        <v>0</v>
      </c>
      <c r="I165" s="20" t="str">
        <f aca="false">IF(B165="","",LOWER(TRIM(B165))&amp;" | "&amp;LOWER(TRIM(D165)))</f>
        <v/>
      </c>
      <c r="J165" s="18" t="str">
        <f aca="false">IF(H165&lt;=0,"",IF(COUNTIFS(I$5:I164,I165,H$5:H164,"&gt;0")=0,IFERROR(MATCH(E165,Lists!$A$2:$A$8,0),7)*10000+ROW(),""))</f>
        <v/>
      </c>
    </row>
    <row r="166" customFormat="false" ht="15" hidden="false" customHeight="false" outlineLevel="0" collapsed="false">
      <c r="A166" s="10"/>
      <c r="B166" s="10"/>
      <c r="C166" s="17"/>
      <c r="D166" s="10"/>
      <c r="E166" s="10"/>
      <c r="F166" s="18" t="n">
        <f aca="false">IF(A166="",0,COUNTIF(Week!$B$6:$E$12,A166))</f>
        <v>0</v>
      </c>
      <c r="G166" s="19" t="n">
        <f aca="false">IF(A166="",1,IFERROR(IF(N(INDEX(Meals!$B$6:$B$65,MATCH(A166,Meals!$A$6:$A$65,0)))&gt;0,Week!$B$3/INDEX(Meals!$B$6:$B$65,MATCH(A166,Meals!$A$6:$A$65,0)),1),1))</f>
        <v>1</v>
      </c>
      <c r="H166" s="19" t="n">
        <f aca="false">IF(OR(B166="",F166=0),0,N(C166)*F166*G166)</f>
        <v>0</v>
      </c>
      <c r="I166" s="20" t="str">
        <f aca="false">IF(B166="","",LOWER(TRIM(B166))&amp;" | "&amp;LOWER(TRIM(D166)))</f>
        <v/>
      </c>
      <c r="J166" s="18" t="str">
        <f aca="false">IF(H166&lt;=0,"",IF(COUNTIFS(I$5:I165,I166,H$5:H165,"&gt;0")=0,IFERROR(MATCH(E166,Lists!$A$2:$A$8,0),7)*10000+ROW(),""))</f>
        <v/>
      </c>
    </row>
    <row r="167" customFormat="false" ht="15" hidden="false" customHeight="false" outlineLevel="0" collapsed="false">
      <c r="A167" s="10"/>
      <c r="B167" s="10"/>
      <c r="C167" s="17"/>
      <c r="D167" s="10"/>
      <c r="E167" s="10"/>
      <c r="F167" s="18" t="n">
        <f aca="false">IF(A167="",0,COUNTIF(Week!$B$6:$E$12,A167))</f>
        <v>0</v>
      </c>
      <c r="G167" s="19" t="n">
        <f aca="false">IF(A167="",1,IFERROR(IF(N(INDEX(Meals!$B$6:$B$65,MATCH(A167,Meals!$A$6:$A$65,0)))&gt;0,Week!$B$3/INDEX(Meals!$B$6:$B$65,MATCH(A167,Meals!$A$6:$A$65,0)),1),1))</f>
        <v>1</v>
      </c>
      <c r="H167" s="19" t="n">
        <f aca="false">IF(OR(B167="",F167=0),0,N(C167)*F167*G167)</f>
        <v>0</v>
      </c>
      <c r="I167" s="20" t="str">
        <f aca="false">IF(B167="","",LOWER(TRIM(B167))&amp;" | "&amp;LOWER(TRIM(D167)))</f>
        <v/>
      </c>
      <c r="J167" s="18" t="str">
        <f aca="false">IF(H167&lt;=0,"",IF(COUNTIFS(I$5:I166,I167,H$5:H166,"&gt;0")=0,IFERROR(MATCH(E167,Lists!$A$2:$A$8,0),7)*10000+ROW(),""))</f>
        <v/>
      </c>
    </row>
    <row r="168" customFormat="false" ht="15" hidden="false" customHeight="false" outlineLevel="0" collapsed="false">
      <c r="A168" s="10"/>
      <c r="B168" s="10"/>
      <c r="C168" s="17"/>
      <c r="D168" s="10"/>
      <c r="E168" s="10"/>
      <c r="F168" s="18" t="n">
        <f aca="false">IF(A168="",0,COUNTIF(Week!$B$6:$E$12,A168))</f>
        <v>0</v>
      </c>
      <c r="G168" s="19" t="n">
        <f aca="false">IF(A168="",1,IFERROR(IF(N(INDEX(Meals!$B$6:$B$65,MATCH(A168,Meals!$A$6:$A$65,0)))&gt;0,Week!$B$3/INDEX(Meals!$B$6:$B$65,MATCH(A168,Meals!$A$6:$A$65,0)),1),1))</f>
        <v>1</v>
      </c>
      <c r="H168" s="19" t="n">
        <f aca="false">IF(OR(B168="",F168=0),0,N(C168)*F168*G168)</f>
        <v>0</v>
      </c>
      <c r="I168" s="20" t="str">
        <f aca="false">IF(B168="","",LOWER(TRIM(B168))&amp;" | "&amp;LOWER(TRIM(D168)))</f>
        <v/>
      </c>
      <c r="J168" s="18" t="str">
        <f aca="false">IF(H168&lt;=0,"",IF(COUNTIFS(I$5:I167,I168,H$5:H167,"&gt;0")=0,IFERROR(MATCH(E168,Lists!$A$2:$A$8,0),7)*10000+ROW(),""))</f>
        <v/>
      </c>
    </row>
    <row r="169" customFormat="false" ht="15" hidden="false" customHeight="false" outlineLevel="0" collapsed="false">
      <c r="A169" s="10"/>
      <c r="B169" s="10"/>
      <c r="C169" s="17"/>
      <c r="D169" s="10"/>
      <c r="E169" s="10"/>
      <c r="F169" s="18" t="n">
        <f aca="false">IF(A169="",0,COUNTIF(Week!$B$6:$E$12,A169))</f>
        <v>0</v>
      </c>
      <c r="G169" s="19" t="n">
        <f aca="false">IF(A169="",1,IFERROR(IF(N(INDEX(Meals!$B$6:$B$65,MATCH(A169,Meals!$A$6:$A$65,0)))&gt;0,Week!$B$3/INDEX(Meals!$B$6:$B$65,MATCH(A169,Meals!$A$6:$A$65,0)),1),1))</f>
        <v>1</v>
      </c>
      <c r="H169" s="19" t="n">
        <f aca="false">IF(OR(B169="",F169=0),0,N(C169)*F169*G169)</f>
        <v>0</v>
      </c>
      <c r="I169" s="20" t="str">
        <f aca="false">IF(B169="","",LOWER(TRIM(B169))&amp;" | "&amp;LOWER(TRIM(D169)))</f>
        <v/>
      </c>
      <c r="J169" s="18" t="str">
        <f aca="false">IF(H169&lt;=0,"",IF(COUNTIFS(I$5:I168,I169,H$5:H168,"&gt;0")=0,IFERROR(MATCH(E169,Lists!$A$2:$A$8,0),7)*10000+ROW(),""))</f>
        <v/>
      </c>
    </row>
    <row r="170" customFormat="false" ht="15" hidden="false" customHeight="false" outlineLevel="0" collapsed="false">
      <c r="A170" s="10"/>
      <c r="B170" s="10"/>
      <c r="C170" s="17"/>
      <c r="D170" s="10"/>
      <c r="E170" s="10"/>
      <c r="F170" s="18" t="n">
        <f aca="false">IF(A170="",0,COUNTIF(Week!$B$6:$E$12,A170))</f>
        <v>0</v>
      </c>
      <c r="G170" s="19" t="n">
        <f aca="false">IF(A170="",1,IFERROR(IF(N(INDEX(Meals!$B$6:$B$65,MATCH(A170,Meals!$A$6:$A$65,0)))&gt;0,Week!$B$3/INDEX(Meals!$B$6:$B$65,MATCH(A170,Meals!$A$6:$A$65,0)),1),1))</f>
        <v>1</v>
      </c>
      <c r="H170" s="19" t="n">
        <f aca="false">IF(OR(B170="",F170=0),0,N(C170)*F170*G170)</f>
        <v>0</v>
      </c>
      <c r="I170" s="20" t="str">
        <f aca="false">IF(B170="","",LOWER(TRIM(B170))&amp;" | "&amp;LOWER(TRIM(D170)))</f>
        <v/>
      </c>
      <c r="J170" s="18" t="str">
        <f aca="false">IF(H170&lt;=0,"",IF(COUNTIFS(I$5:I169,I170,H$5:H169,"&gt;0")=0,IFERROR(MATCH(E170,Lists!$A$2:$A$8,0),7)*10000+ROW(),""))</f>
        <v/>
      </c>
    </row>
    <row r="171" customFormat="false" ht="15" hidden="false" customHeight="false" outlineLevel="0" collapsed="false">
      <c r="A171" s="10"/>
      <c r="B171" s="10"/>
      <c r="C171" s="17"/>
      <c r="D171" s="10"/>
      <c r="E171" s="10"/>
      <c r="F171" s="18" t="n">
        <f aca="false">IF(A171="",0,COUNTIF(Week!$B$6:$E$12,A171))</f>
        <v>0</v>
      </c>
      <c r="G171" s="19" t="n">
        <f aca="false">IF(A171="",1,IFERROR(IF(N(INDEX(Meals!$B$6:$B$65,MATCH(A171,Meals!$A$6:$A$65,0)))&gt;0,Week!$B$3/INDEX(Meals!$B$6:$B$65,MATCH(A171,Meals!$A$6:$A$65,0)),1),1))</f>
        <v>1</v>
      </c>
      <c r="H171" s="19" t="n">
        <f aca="false">IF(OR(B171="",F171=0),0,N(C171)*F171*G171)</f>
        <v>0</v>
      </c>
      <c r="I171" s="20" t="str">
        <f aca="false">IF(B171="","",LOWER(TRIM(B171))&amp;" | "&amp;LOWER(TRIM(D171)))</f>
        <v/>
      </c>
      <c r="J171" s="18" t="str">
        <f aca="false">IF(H171&lt;=0,"",IF(COUNTIFS(I$5:I170,I171,H$5:H170,"&gt;0")=0,IFERROR(MATCH(E171,Lists!$A$2:$A$8,0),7)*10000+ROW(),""))</f>
        <v/>
      </c>
    </row>
    <row r="172" customFormat="false" ht="15" hidden="false" customHeight="false" outlineLevel="0" collapsed="false">
      <c r="A172" s="10"/>
      <c r="B172" s="10"/>
      <c r="C172" s="17"/>
      <c r="D172" s="10"/>
      <c r="E172" s="10"/>
      <c r="F172" s="18" t="n">
        <f aca="false">IF(A172="",0,COUNTIF(Week!$B$6:$E$12,A172))</f>
        <v>0</v>
      </c>
      <c r="G172" s="19" t="n">
        <f aca="false">IF(A172="",1,IFERROR(IF(N(INDEX(Meals!$B$6:$B$65,MATCH(A172,Meals!$A$6:$A$65,0)))&gt;0,Week!$B$3/INDEX(Meals!$B$6:$B$65,MATCH(A172,Meals!$A$6:$A$65,0)),1),1))</f>
        <v>1</v>
      </c>
      <c r="H172" s="19" t="n">
        <f aca="false">IF(OR(B172="",F172=0),0,N(C172)*F172*G172)</f>
        <v>0</v>
      </c>
      <c r="I172" s="20" t="str">
        <f aca="false">IF(B172="","",LOWER(TRIM(B172))&amp;" | "&amp;LOWER(TRIM(D172)))</f>
        <v/>
      </c>
      <c r="J172" s="18" t="str">
        <f aca="false">IF(H172&lt;=0,"",IF(COUNTIFS(I$5:I171,I172,H$5:H171,"&gt;0")=0,IFERROR(MATCH(E172,Lists!$A$2:$A$8,0),7)*10000+ROW(),""))</f>
        <v/>
      </c>
    </row>
    <row r="173" customFormat="false" ht="15" hidden="false" customHeight="false" outlineLevel="0" collapsed="false">
      <c r="A173" s="10"/>
      <c r="B173" s="10"/>
      <c r="C173" s="17"/>
      <c r="D173" s="10"/>
      <c r="E173" s="10"/>
      <c r="F173" s="18" t="n">
        <f aca="false">IF(A173="",0,COUNTIF(Week!$B$6:$E$12,A173))</f>
        <v>0</v>
      </c>
      <c r="G173" s="19" t="n">
        <f aca="false">IF(A173="",1,IFERROR(IF(N(INDEX(Meals!$B$6:$B$65,MATCH(A173,Meals!$A$6:$A$65,0)))&gt;0,Week!$B$3/INDEX(Meals!$B$6:$B$65,MATCH(A173,Meals!$A$6:$A$65,0)),1),1))</f>
        <v>1</v>
      </c>
      <c r="H173" s="19" t="n">
        <f aca="false">IF(OR(B173="",F173=0),0,N(C173)*F173*G173)</f>
        <v>0</v>
      </c>
      <c r="I173" s="20" t="str">
        <f aca="false">IF(B173="","",LOWER(TRIM(B173))&amp;" | "&amp;LOWER(TRIM(D173)))</f>
        <v/>
      </c>
      <c r="J173" s="18" t="str">
        <f aca="false">IF(H173&lt;=0,"",IF(COUNTIFS(I$5:I172,I173,H$5:H172,"&gt;0")=0,IFERROR(MATCH(E173,Lists!$A$2:$A$8,0),7)*10000+ROW(),""))</f>
        <v/>
      </c>
    </row>
    <row r="174" customFormat="false" ht="15" hidden="false" customHeight="false" outlineLevel="0" collapsed="false">
      <c r="A174" s="10"/>
      <c r="B174" s="10"/>
      <c r="C174" s="17"/>
      <c r="D174" s="10"/>
      <c r="E174" s="10"/>
      <c r="F174" s="18" t="n">
        <f aca="false">IF(A174="",0,COUNTIF(Week!$B$6:$E$12,A174))</f>
        <v>0</v>
      </c>
      <c r="G174" s="19" t="n">
        <f aca="false">IF(A174="",1,IFERROR(IF(N(INDEX(Meals!$B$6:$B$65,MATCH(A174,Meals!$A$6:$A$65,0)))&gt;0,Week!$B$3/INDEX(Meals!$B$6:$B$65,MATCH(A174,Meals!$A$6:$A$65,0)),1),1))</f>
        <v>1</v>
      </c>
      <c r="H174" s="19" t="n">
        <f aca="false">IF(OR(B174="",F174=0),0,N(C174)*F174*G174)</f>
        <v>0</v>
      </c>
      <c r="I174" s="20" t="str">
        <f aca="false">IF(B174="","",LOWER(TRIM(B174))&amp;" | "&amp;LOWER(TRIM(D174)))</f>
        <v/>
      </c>
      <c r="J174" s="18" t="str">
        <f aca="false">IF(H174&lt;=0,"",IF(COUNTIFS(I$5:I173,I174,H$5:H173,"&gt;0")=0,IFERROR(MATCH(E174,Lists!$A$2:$A$8,0),7)*10000+ROW(),""))</f>
        <v/>
      </c>
    </row>
    <row r="175" customFormat="false" ht="15" hidden="false" customHeight="false" outlineLevel="0" collapsed="false">
      <c r="A175" s="10"/>
      <c r="B175" s="10"/>
      <c r="C175" s="17"/>
      <c r="D175" s="10"/>
      <c r="E175" s="10"/>
      <c r="F175" s="18" t="n">
        <f aca="false">IF(A175="",0,COUNTIF(Week!$B$6:$E$12,A175))</f>
        <v>0</v>
      </c>
      <c r="G175" s="19" t="n">
        <f aca="false">IF(A175="",1,IFERROR(IF(N(INDEX(Meals!$B$6:$B$65,MATCH(A175,Meals!$A$6:$A$65,0)))&gt;0,Week!$B$3/INDEX(Meals!$B$6:$B$65,MATCH(A175,Meals!$A$6:$A$65,0)),1),1))</f>
        <v>1</v>
      </c>
      <c r="H175" s="19" t="n">
        <f aca="false">IF(OR(B175="",F175=0),0,N(C175)*F175*G175)</f>
        <v>0</v>
      </c>
      <c r="I175" s="20" t="str">
        <f aca="false">IF(B175="","",LOWER(TRIM(B175))&amp;" | "&amp;LOWER(TRIM(D175)))</f>
        <v/>
      </c>
      <c r="J175" s="18" t="str">
        <f aca="false">IF(H175&lt;=0,"",IF(COUNTIFS(I$5:I174,I175,H$5:H174,"&gt;0")=0,IFERROR(MATCH(E175,Lists!$A$2:$A$8,0),7)*10000+ROW(),""))</f>
        <v/>
      </c>
    </row>
    <row r="176" customFormat="false" ht="15" hidden="false" customHeight="false" outlineLevel="0" collapsed="false">
      <c r="A176" s="10"/>
      <c r="B176" s="10"/>
      <c r="C176" s="17"/>
      <c r="D176" s="10"/>
      <c r="E176" s="10"/>
      <c r="F176" s="18" t="n">
        <f aca="false">IF(A176="",0,COUNTIF(Week!$B$6:$E$12,A176))</f>
        <v>0</v>
      </c>
      <c r="G176" s="19" t="n">
        <f aca="false">IF(A176="",1,IFERROR(IF(N(INDEX(Meals!$B$6:$B$65,MATCH(A176,Meals!$A$6:$A$65,0)))&gt;0,Week!$B$3/INDEX(Meals!$B$6:$B$65,MATCH(A176,Meals!$A$6:$A$65,0)),1),1))</f>
        <v>1</v>
      </c>
      <c r="H176" s="19" t="n">
        <f aca="false">IF(OR(B176="",F176=0),0,N(C176)*F176*G176)</f>
        <v>0</v>
      </c>
      <c r="I176" s="20" t="str">
        <f aca="false">IF(B176="","",LOWER(TRIM(B176))&amp;" | "&amp;LOWER(TRIM(D176)))</f>
        <v/>
      </c>
      <c r="J176" s="18" t="str">
        <f aca="false">IF(H176&lt;=0,"",IF(COUNTIFS(I$5:I175,I176,H$5:H175,"&gt;0")=0,IFERROR(MATCH(E176,Lists!$A$2:$A$8,0),7)*10000+ROW(),""))</f>
        <v/>
      </c>
    </row>
    <row r="177" customFormat="false" ht="15" hidden="false" customHeight="false" outlineLevel="0" collapsed="false">
      <c r="A177" s="10"/>
      <c r="B177" s="10"/>
      <c r="C177" s="17"/>
      <c r="D177" s="10"/>
      <c r="E177" s="10"/>
      <c r="F177" s="18" t="n">
        <f aca="false">IF(A177="",0,COUNTIF(Week!$B$6:$E$12,A177))</f>
        <v>0</v>
      </c>
      <c r="G177" s="19" t="n">
        <f aca="false">IF(A177="",1,IFERROR(IF(N(INDEX(Meals!$B$6:$B$65,MATCH(A177,Meals!$A$6:$A$65,0)))&gt;0,Week!$B$3/INDEX(Meals!$B$6:$B$65,MATCH(A177,Meals!$A$6:$A$65,0)),1),1))</f>
        <v>1</v>
      </c>
      <c r="H177" s="19" t="n">
        <f aca="false">IF(OR(B177="",F177=0),0,N(C177)*F177*G177)</f>
        <v>0</v>
      </c>
      <c r="I177" s="20" t="str">
        <f aca="false">IF(B177="","",LOWER(TRIM(B177))&amp;" | "&amp;LOWER(TRIM(D177)))</f>
        <v/>
      </c>
      <c r="J177" s="18" t="str">
        <f aca="false">IF(H177&lt;=0,"",IF(COUNTIFS(I$5:I176,I177,H$5:H176,"&gt;0")=0,IFERROR(MATCH(E177,Lists!$A$2:$A$8,0),7)*10000+ROW(),""))</f>
        <v/>
      </c>
    </row>
    <row r="178" customFormat="false" ht="15" hidden="false" customHeight="false" outlineLevel="0" collapsed="false">
      <c r="A178" s="10"/>
      <c r="B178" s="10"/>
      <c r="C178" s="17"/>
      <c r="D178" s="10"/>
      <c r="E178" s="10"/>
      <c r="F178" s="18" t="n">
        <f aca="false">IF(A178="",0,COUNTIF(Week!$B$6:$E$12,A178))</f>
        <v>0</v>
      </c>
      <c r="G178" s="19" t="n">
        <f aca="false">IF(A178="",1,IFERROR(IF(N(INDEX(Meals!$B$6:$B$65,MATCH(A178,Meals!$A$6:$A$65,0)))&gt;0,Week!$B$3/INDEX(Meals!$B$6:$B$65,MATCH(A178,Meals!$A$6:$A$65,0)),1),1))</f>
        <v>1</v>
      </c>
      <c r="H178" s="19" t="n">
        <f aca="false">IF(OR(B178="",F178=0),0,N(C178)*F178*G178)</f>
        <v>0</v>
      </c>
      <c r="I178" s="20" t="str">
        <f aca="false">IF(B178="","",LOWER(TRIM(B178))&amp;" | "&amp;LOWER(TRIM(D178)))</f>
        <v/>
      </c>
      <c r="J178" s="18" t="str">
        <f aca="false">IF(H178&lt;=0,"",IF(COUNTIFS(I$5:I177,I178,H$5:H177,"&gt;0")=0,IFERROR(MATCH(E178,Lists!$A$2:$A$8,0),7)*10000+ROW(),""))</f>
        <v/>
      </c>
    </row>
    <row r="179" customFormat="false" ht="15" hidden="false" customHeight="false" outlineLevel="0" collapsed="false">
      <c r="A179" s="10"/>
      <c r="B179" s="10"/>
      <c r="C179" s="17"/>
      <c r="D179" s="10"/>
      <c r="E179" s="10"/>
      <c r="F179" s="18" t="n">
        <f aca="false">IF(A179="",0,COUNTIF(Week!$B$6:$E$12,A179))</f>
        <v>0</v>
      </c>
      <c r="G179" s="19" t="n">
        <f aca="false">IF(A179="",1,IFERROR(IF(N(INDEX(Meals!$B$6:$B$65,MATCH(A179,Meals!$A$6:$A$65,0)))&gt;0,Week!$B$3/INDEX(Meals!$B$6:$B$65,MATCH(A179,Meals!$A$6:$A$65,0)),1),1))</f>
        <v>1</v>
      </c>
      <c r="H179" s="19" t="n">
        <f aca="false">IF(OR(B179="",F179=0),0,N(C179)*F179*G179)</f>
        <v>0</v>
      </c>
      <c r="I179" s="20" t="str">
        <f aca="false">IF(B179="","",LOWER(TRIM(B179))&amp;" | "&amp;LOWER(TRIM(D179)))</f>
        <v/>
      </c>
      <c r="J179" s="18" t="str">
        <f aca="false">IF(H179&lt;=0,"",IF(COUNTIFS(I$5:I178,I179,H$5:H178,"&gt;0")=0,IFERROR(MATCH(E179,Lists!$A$2:$A$8,0),7)*10000+ROW(),""))</f>
        <v/>
      </c>
    </row>
    <row r="180" customFormat="false" ht="15" hidden="false" customHeight="false" outlineLevel="0" collapsed="false">
      <c r="A180" s="10"/>
      <c r="B180" s="10"/>
      <c r="C180" s="17"/>
      <c r="D180" s="10"/>
      <c r="E180" s="10"/>
      <c r="F180" s="18" t="n">
        <f aca="false">IF(A180="",0,COUNTIF(Week!$B$6:$E$12,A180))</f>
        <v>0</v>
      </c>
      <c r="G180" s="19" t="n">
        <f aca="false">IF(A180="",1,IFERROR(IF(N(INDEX(Meals!$B$6:$B$65,MATCH(A180,Meals!$A$6:$A$65,0)))&gt;0,Week!$B$3/INDEX(Meals!$B$6:$B$65,MATCH(A180,Meals!$A$6:$A$65,0)),1),1))</f>
        <v>1</v>
      </c>
      <c r="H180" s="19" t="n">
        <f aca="false">IF(OR(B180="",F180=0),0,N(C180)*F180*G180)</f>
        <v>0</v>
      </c>
      <c r="I180" s="20" t="str">
        <f aca="false">IF(B180="","",LOWER(TRIM(B180))&amp;" | "&amp;LOWER(TRIM(D180)))</f>
        <v/>
      </c>
      <c r="J180" s="18" t="str">
        <f aca="false">IF(H180&lt;=0,"",IF(COUNTIFS(I$5:I179,I180,H$5:H179,"&gt;0")=0,IFERROR(MATCH(E180,Lists!$A$2:$A$8,0),7)*10000+ROW(),""))</f>
        <v/>
      </c>
    </row>
    <row r="181" customFormat="false" ht="15" hidden="false" customHeight="false" outlineLevel="0" collapsed="false">
      <c r="A181" s="10"/>
      <c r="B181" s="10"/>
      <c r="C181" s="17"/>
      <c r="D181" s="10"/>
      <c r="E181" s="10"/>
      <c r="F181" s="18" t="n">
        <f aca="false">IF(A181="",0,COUNTIF(Week!$B$6:$E$12,A181))</f>
        <v>0</v>
      </c>
      <c r="G181" s="19" t="n">
        <f aca="false">IF(A181="",1,IFERROR(IF(N(INDEX(Meals!$B$6:$B$65,MATCH(A181,Meals!$A$6:$A$65,0)))&gt;0,Week!$B$3/INDEX(Meals!$B$6:$B$65,MATCH(A181,Meals!$A$6:$A$65,0)),1),1))</f>
        <v>1</v>
      </c>
      <c r="H181" s="19" t="n">
        <f aca="false">IF(OR(B181="",F181=0),0,N(C181)*F181*G181)</f>
        <v>0</v>
      </c>
      <c r="I181" s="20" t="str">
        <f aca="false">IF(B181="","",LOWER(TRIM(B181))&amp;" | "&amp;LOWER(TRIM(D181)))</f>
        <v/>
      </c>
      <c r="J181" s="18" t="str">
        <f aca="false">IF(H181&lt;=0,"",IF(COUNTIFS(I$5:I180,I181,H$5:H180,"&gt;0")=0,IFERROR(MATCH(E181,Lists!$A$2:$A$8,0),7)*10000+ROW(),""))</f>
        <v/>
      </c>
    </row>
    <row r="182" customFormat="false" ht="15" hidden="false" customHeight="false" outlineLevel="0" collapsed="false">
      <c r="A182" s="10"/>
      <c r="B182" s="10"/>
      <c r="C182" s="17"/>
      <c r="D182" s="10"/>
      <c r="E182" s="10"/>
      <c r="F182" s="18" t="n">
        <f aca="false">IF(A182="",0,COUNTIF(Week!$B$6:$E$12,A182))</f>
        <v>0</v>
      </c>
      <c r="G182" s="19" t="n">
        <f aca="false">IF(A182="",1,IFERROR(IF(N(INDEX(Meals!$B$6:$B$65,MATCH(A182,Meals!$A$6:$A$65,0)))&gt;0,Week!$B$3/INDEX(Meals!$B$6:$B$65,MATCH(A182,Meals!$A$6:$A$65,0)),1),1))</f>
        <v>1</v>
      </c>
      <c r="H182" s="19" t="n">
        <f aca="false">IF(OR(B182="",F182=0),0,N(C182)*F182*G182)</f>
        <v>0</v>
      </c>
      <c r="I182" s="20" t="str">
        <f aca="false">IF(B182="","",LOWER(TRIM(B182))&amp;" | "&amp;LOWER(TRIM(D182)))</f>
        <v/>
      </c>
      <c r="J182" s="18" t="str">
        <f aca="false">IF(H182&lt;=0,"",IF(COUNTIFS(I$5:I181,I182,H$5:H181,"&gt;0")=0,IFERROR(MATCH(E182,Lists!$A$2:$A$8,0),7)*10000+ROW(),""))</f>
        <v/>
      </c>
    </row>
    <row r="183" customFormat="false" ht="15" hidden="false" customHeight="false" outlineLevel="0" collapsed="false">
      <c r="A183" s="10"/>
      <c r="B183" s="10"/>
      <c r="C183" s="17"/>
      <c r="D183" s="10"/>
      <c r="E183" s="10"/>
      <c r="F183" s="18" t="n">
        <f aca="false">IF(A183="",0,COUNTIF(Week!$B$6:$E$12,A183))</f>
        <v>0</v>
      </c>
      <c r="G183" s="19" t="n">
        <f aca="false">IF(A183="",1,IFERROR(IF(N(INDEX(Meals!$B$6:$B$65,MATCH(A183,Meals!$A$6:$A$65,0)))&gt;0,Week!$B$3/INDEX(Meals!$B$6:$B$65,MATCH(A183,Meals!$A$6:$A$65,0)),1),1))</f>
        <v>1</v>
      </c>
      <c r="H183" s="19" t="n">
        <f aca="false">IF(OR(B183="",F183=0),0,N(C183)*F183*G183)</f>
        <v>0</v>
      </c>
      <c r="I183" s="20" t="str">
        <f aca="false">IF(B183="","",LOWER(TRIM(B183))&amp;" | "&amp;LOWER(TRIM(D183)))</f>
        <v/>
      </c>
      <c r="J183" s="18" t="str">
        <f aca="false">IF(H183&lt;=0,"",IF(COUNTIFS(I$5:I182,I183,H$5:H182,"&gt;0")=0,IFERROR(MATCH(E183,Lists!$A$2:$A$8,0),7)*10000+ROW(),""))</f>
        <v/>
      </c>
    </row>
    <row r="184" customFormat="false" ht="15" hidden="false" customHeight="false" outlineLevel="0" collapsed="false">
      <c r="A184" s="10"/>
      <c r="B184" s="10"/>
      <c r="C184" s="17"/>
      <c r="D184" s="10"/>
      <c r="E184" s="10"/>
      <c r="F184" s="18" t="n">
        <f aca="false">IF(A184="",0,COUNTIF(Week!$B$6:$E$12,A184))</f>
        <v>0</v>
      </c>
      <c r="G184" s="19" t="n">
        <f aca="false">IF(A184="",1,IFERROR(IF(N(INDEX(Meals!$B$6:$B$65,MATCH(A184,Meals!$A$6:$A$65,0)))&gt;0,Week!$B$3/INDEX(Meals!$B$6:$B$65,MATCH(A184,Meals!$A$6:$A$65,0)),1),1))</f>
        <v>1</v>
      </c>
      <c r="H184" s="19" t="n">
        <f aca="false">IF(OR(B184="",F184=0),0,N(C184)*F184*G184)</f>
        <v>0</v>
      </c>
      <c r="I184" s="20" t="str">
        <f aca="false">IF(B184="","",LOWER(TRIM(B184))&amp;" | "&amp;LOWER(TRIM(D184)))</f>
        <v/>
      </c>
      <c r="J184" s="18" t="str">
        <f aca="false">IF(H184&lt;=0,"",IF(COUNTIFS(I$5:I183,I184,H$5:H183,"&gt;0")=0,IFERROR(MATCH(E184,Lists!$A$2:$A$8,0),7)*10000+ROW(),""))</f>
        <v/>
      </c>
    </row>
    <row r="185" customFormat="false" ht="15" hidden="false" customHeight="false" outlineLevel="0" collapsed="false">
      <c r="A185" s="10"/>
      <c r="B185" s="10"/>
      <c r="C185" s="17"/>
      <c r="D185" s="10"/>
      <c r="E185" s="10"/>
      <c r="F185" s="18" t="n">
        <f aca="false">IF(A185="",0,COUNTIF(Week!$B$6:$E$12,A185))</f>
        <v>0</v>
      </c>
      <c r="G185" s="19" t="n">
        <f aca="false">IF(A185="",1,IFERROR(IF(N(INDEX(Meals!$B$6:$B$65,MATCH(A185,Meals!$A$6:$A$65,0)))&gt;0,Week!$B$3/INDEX(Meals!$B$6:$B$65,MATCH(A185,Meals!$A$6:$A$65,0)),1),1))</f>
        <v>1</v>
      </c>
      <c r="H185" s="19" t="n">
        <f aca="false">IF(OR(B185="",F185=0),0,N(C185)*F185*G185)</f>
        <v>0</v>
      </c>
      <c r="I185" s="20" t="str">
        <f aca="false">IF(B185="","",LOWER(TRIM(B185))&amp;" | "&amp;LOWER(TRIM(D185)))</f>
        <v/>
      </c>
      <c r="J185" s="18" t="str">
        <f aca="false">IF(H185&lt;=0,"",IF(COUNTIFS(I$5:I184,I185,H$5:H184,"&gt;0")=0,IFERROR(MATCH(E185,Lists!$A$2:$A$8,0),7)*10000+ROW(),""))</f>
        <v/>
      </c>
    </row>
    <row r="186" customFormat="false" ht="15" hidden="false" customHeight="false" outlineLevel="0" collapsed="false">
      <c r="A186" s="10"/>
      <c r="B186" s="10"/>
      <c r="C186" s="17"/>
      <c r="D186" s="10"/>
      <c r="E186" s="10"/>
      <c r="F186" s="18" t="n">
        <f aca="false">IF(A186="",0,COUNTIF(Week!$B$6:$E$12,A186))</f>
        <v>0</v>
      </c>
      <c r="G186" s="19" t="n">
        <f aca="false">IF(A186="",1,IFERROR(IF(N(INDEX(Meals!$B$6:$B$65,MATCH(A186,Meals!$A$6:$A$65,0)))&gt;0,Week!$B$3/INDEX(Meals!$B$6:$B$65,MATCH(A186,Meals!$A$6:$A$65,0)),1),1))</f>
        <v>1</v>
      </c>
      <c r="H186" s="19" t="n">
        <f aca="false">IF(OR(B186="",F186=0),0,N(C186)*F186*G186)</f>
        <v>0</v>
      </c>
      <c r="I186" s="20" t="str">
        <f aca="false">IF(B186="","",LOWER(TRIM(B186))&amp;" | "&amp;LOWER(TRIM(D186)))</f>
        <v/>
      </c>
      <c r="J186" s="18" t="str">
        <f aca="false">IF(H186&lt;=0,"",IF(COUNTIFS(I$5:I185,I186,H$5:H185,"&gt;0")=0,IFERROR(MATCH(E186,Lists!$A$2:$A$8,0),7)*10000+ROW(),""))</f>
        <v/>
      </c>
    </row>
    <row r="187" customFormat="false" ht="15" hidden="false" customHeight="false" outlineLevel="0" collapsed="false">
      <c r="A187" s="10"/>
      <c r="B187" s="10"/>
      <c r="C187" s="17"/>
      <c r="D187" s="10"/>
      <c r="E187" s="10"/>
      <c r="F187" s="18" t="n">
        <f aca="false">IF(A187="",0,COUNTIF(Week!$B$6:$E$12,A187))</f>
        <v>0</v>
      </c>
      <c r="G187" s="19" t="n">
        <f aca="false">IF(A187="",1,IFERROR(IF(N(INDEX(Meals!$B$6:$B$65,MATCH(A187,Meals!$A$6:$A$65,0)))&gt;0,Week!$B$3/INDEX(Meals!$B$6:$B$65,MATCH(A187,Meals!$A$6:$A$65,0)),1),1))</f>
        <v>1</v>
      </c>
      <c r="H187" s="19" t="n">
        <f aca="false">IF(OR(B187="",F187=0),0,N(C187)*F187*G187)</f>
        <v>0</v>
      </c>
      <c r="I187" s="20" t="str">
        <f aca="false">IF(B187="","",LOWER(TRIM(B187))&amp;" | "&amp;LOWER(TRIM(D187)))</f>
        <v/>
      </c>
      <c r="J187" s="18" t="str">
        <f aca="false">IF(H187&lt;=0,"",IF(COUNTIFS(I$5:I186,I187,H$5:H186,"&gt;0")=0,IFERROR(MATCH(E187,Lists!$A$2:$A$8,0),7)*10000+ROW(),""))</f>
        <v/>
      </c>
    </row>
    <row r="188" customFormat="false" ht="15" hidden="false" customHeight="false" outlineLevel="0" collapsed="false">
      <c r="A188" s="10"/>
      <c r="B188" s="10"/>
      <c r="C188" s="17"/>
      <c r="D188" s="10"/>
      <c r="E188" s="10"/>
      <c r="F188" s="18" t="n">
        <f aca="false">IF(A188="",0,COUNTIF(Week!$B$6:$E$12,A188))</f>
        <v>0</v>
      </c>
      <c r="G188" s="19" t="n">
        <f aca="false">IF(A188="",1,IFERROR(IF(N(INDEX(Meals!$B$6:$B$65,MATCH(A188,Meals!$A$6:$A$65,0)))&gt;0,Week!$B$3/INDEX(Meals!$B$6:$B$65,MATCH(A188,Meals!$A$6:$A$65,0)),1),1))</f>
        <v>1</v>
      </c>
      <c r="H188" s="19" t="n">
        <f aca="false">IF(OR(B188="",F188=0),0,N(C188)*F188*G188)</f>
        <v>0</v>
      </c>
      <c r="I188" s="20" t="str">
        <f aca="false">IF(B188="","",LOWER(TRIM(B188))&amp;" | "&amp;LOWER(TRIM(D188)))</f>
        <v/>
      </c>
      <c r="J188" s="18" t="str">
        <f aca="false">IF(H188&lt;=0,"",IF(COUNTIFS(I$5:I187,I188,H$5:H187,"&gt;0")=0,IFERROR(MATCH(E188,Lists!$A$2:$A$8,0),7)*10000+ROW(),""))</f>
        <v/>
      </c>
    </row>
    <row r="189" customFormat="false" ht="15" hidden="false" customHeight="false" outlineLevel="0" collapsed="false">
      <c r="A189" s="10"/>
      <c r="B189" s="10"/>
      <c r="C189" s="17"/>
      <c r="D189" s="10"/>
      <c r="E189" s="10"/>
      <c r="F189" s="18" t="n">
        <f aca="false">IF(A189="",0,COUNTIF(Week!$B$6:$E$12,A189))</f>
        <v>0</v>
      </c>
      <c r="G189" s="19" t="n">
        <f aca="false">IF(A189="",1,IFERROR(IF(N(INDEX(Meals!$B$6:$B$65,MATCH(A189,Meals!$A$6:$A$65,0)))&gt;0,Week!$B$3/INDEX(Meals!$B$6:$B$65,MATCH(A189,Meals!$A$6:$A$65,0)),1),1))</f>
        <v>1</v>
      </c>
      <c r="H189" s="19" t="n">
        <f aca="false">IF(OR(B189="",F189=0),0,N(C189)*F189*G189)</f>
        <v>0</v>
      </c>
      <c r="I189" s="20" t="str">
        <f aca="false">IF(B189="","",LOWER(TRIM(B189))&amp;" | "&amp;LOWER(TRIM(D189)))</f>
        <v/>
      </c>
      <c r="J189" s="18" t="str">
        <f aca="false">IF(H189&lt;=0,"",IF(COUNTIFS(I$5:I188,I189,H$5:H188,"&gt;0")=0,IFERROR(MATCH(E189,Lists!$A$2:$A$8,0),7)*10000+ROW(),""))</f>
        <v/>
      </c>
    </row>
    <row r="190" customFormat="false" ht="15" hidden="false" customHeight="false" outlineLevel="0" collapsed="false">
      <c r="A190" s="10"/>
      <c r="B190" s="10"/>
      <c r="C190" s="17"/>
      <c r="D190" s="10"/>
      <c r="E190" s="10"/>
      <c r="F190" s="18" t="n">
        <f aca="false">IF(A190="",0,COUNTIF(Week!$B$6:$E$12,A190))</f>
        <v>0</v>
      </c>
      <c r="G190" s="19" t="n">
        <f aca="false">IF(A190="",1,IFERROR(IF(N(INDEX(Meals!$B$6:$B$65,MATCH(A190,Meals!$A$6:$A$65,0)))&gt;0,Week!$B$3/INDEX(Meals!$B$6:$B$65,MATCH(A190,Meals!$A$6:$A$65,0)),1),1))</f>
        <v>1</v>
      </c>
      <c r="H190" s="19" t="n">
        <f aca="false">IF(OR(B190="",F190=0),0,N(C190)*F190*G190)</f>
        <v>0</v>
      </c>
      <c r="I190" s="20" t="str">
        <f aca="false">IF(B190="","",LOWER(TRIM(B190))&amp;" | "&amp;LOWER(TRIM(D190)))</f>
        <v/>
      </c>
      <c r="J190" s="18" t="str">
        <f aca="false">IF(H190&lt;=0,"",IF(COUNTIFS(I$5:I189,I190,H$5:H189,"&gt;0")=0,IFERROR(MATCH(E190,Lists!$A$2:$A$8,0),7)*10000+ROW(),""))</f>
        <v/>
      </c>
    </row>
    <row r="191" customFormat="false" ht="15" hidden="false" customHeight="false" outlineLevel="0" collapsed="false">
      <c r="A191" s="10"/>
      <c r="B191" s="10"/>
      <c r="C191" s="17"/>
      <c r="D191" s="10"/>
      <c r="E191" s="10"/>
      <c r="F191" s="18" t="n">
        <f aca="false">IF(A191="",0,COUNTIF(Week!$B$6:$E$12,A191))</f>
        <v>0</v>
      </c>
      <c r="G191" s="19" t="n">
        <f aca="false">IF(A191="",1,IFERROR(IF(N(INDEX(Meals!$B$6:$B$65,MATCH(A191,Meals!$A$6:$A$65,0)))&gt;0,Week!$B$3/INDEX(Meals!$B$6:$B$65,MATCH(A191,Meals!$A$6:$A$65,0)),1),1))</f>
        <v>1</v>
      </c>
      <c r="H191" s="19" t="n">
        <f aca="false">IF(OR(B191="",F191=0),0,N(C191)*F191*G191)</f>
        <v>0</v>
      </c>
      <c r="I191" s="20" t="str">
        <f aca="false">IF(B191="","",LOWER(TRIM(B191))&amp;" | "&amp;LOWER(TRIM(D191)))</f>
        <v/>
      </c>
      <c r="J191" s="18" t="str">
        <f aca="false">IF(H191&lt;=0,"",IF(COUNTIFS(I$5:I190,I191,H$5:H190,"&gt;0")=0,IFERROR(MATCH(E191,Lists!$A$2:$A$8,0),7)*10000+ROW(),""))</f>
        <v/>
      </c>
    </row>
    <row r="192" customFormat="false" ht="15" hidden="false" customHeight="false" outlineLevel="0" collapsed="false">
      <c r="A192" s="10"/>
      <c r="B192" s="10"/>
      <c r="C192" s="17"/>
      <c r="D192" s="10"/>
      <c r="E192" s="10"/>
      <c r="F192" s="18" t="n">
        <f aca="false">IF(A192="",0,COUNTIF(Week!$B$6:$E$12,A192))</f>
        <v>0</v>
      </c>
      <c r="G192" s="19" t="n">
        <f aca="false">IF(A192="",1,IFERROR(IF(N(INDEX(Meals!$B$6:$B$65,MATCH(A192,Meals!$A$6:$A$65,0)))&gt;0,Week!$B$3/INDEX(Meals!$B$6:$B$65,MATCH(A192,Meals!$A$6:$A$65,0)),1),1))</f>
        <v>1</v>
      </c>
      <c r="H192" s="19" t="n">
        <f aca="false">IF(OR(B192="",F192=0),0,N(C192)*F192*G192)</f>
        <v>0</v>
      </c>
      <c r="I192" s="20" t="str">
        <f aca="false">IF(B192="","",LOWER(TRIM(B192))&amp;" | "&amp;LOWER(TRIM(D192)))</f>
        <v/>
      </c>
      <c r="J192" s="18" t="str">
        <f aca="false">IF(H192&lt;=0,"",IF(COUNTIFS(I$5:I191,I192,H$5:H191,"&gt;0")=0,IFERROR(MATCH(E192,Lists!$A$2:$A$8,0),7)*10000+ROW(),""))</f>
        <v/>
      </c>
    </row>
    <row r="193" customFormat="false" ht="15" hidden="false" customHeight="false" outlineLevel="0" collapsed="false">
      <c r="A193" s="10"/>
      <c r="B193" s="10"/>
      <c r="C193" s="17"/>
      <c r="D193" s="10"/>
      <c r="E193" s="10"/>
      <c r="F193" s="18" t="n">
        <f aca="false">IF(A193="",0,COUNTIF(Week!$B$6:$E$12,A193))</f>
        <v>0</v>
      </c>
      <c r="G193" s="19" t="n">
        <f aca="false">IF(A193="",1,IFERROR(IF(N(INDEX(Meals!$B$6:$B$65,MATCH(A193,Meals!$A$6:$A$65,0)))&gt;0,Week!$B$3/INDEX(Meals!$B$6:$B$65,MATCH(A193,Meals!$A$6:$A$65,0)),1),1))</f>
        <v>1</v>
      </c>
      <c r="H193" s="19" t="n">
        <f aca="false">IF(OR(B193="",F193=0),0,N(C193)*F193*G193)</f>
        <v>0</v>
      </c>
      <c r="I193" s="20" t="str">
        <f aca="false">IF(B193="","",LOWER(TRIM(B193))&amp;" | "&amp;LOWER(TRIM(D193)))</f>
        <v/>
      </c>
      <c r="J193" s="18" t="str">
        <f aca="false">IF(H193&lt;=0,"",IF(COUNTIFS(I$5:I192,I193,H$5:H192,"&gt;0")=0,IFERROR(MATCH(E193,Lists!$A$2:$A$8,0),7)*10000+ROW(),""))</f>
        <v/>
      </c>
    </row>
    <row r="194" customFormat="false" ht="15" hidden="false" customHeight="false" outlineLevel="0" collapsed="false">
      <c r="A194" s="10"/>
      <c r="B194" s="10"/>
      <c r="C194" s="17"/>
      <c r="D194" s="10"/>
      <c r="E194" s="10"/>
      <c r="F194" s="18" t="n">
        <f aca="false">IF(A194="",0,COUNTIF(Week!$B$6:$E$12,A194))</f>
        <v>0</v>
      </c>
      <c r="G194" s="19" t="n">
        <f aca="false">IF(A194="",1,IFERROR(IF(N(INDEX(Meals!$B$6:$B$65,MATCH(A194,Meals!$A$6:$A$65,0)))&gt;0,Week!$B$3/INDEX(Meals!$B$6:$B$65,MATCH(A194,Meals!$A$6:$A$65,0)),1),1))</f>
        <v>1</v>
      </c>
      <c r="H194" s="19" t="n">
        <f aca="false">IF(OR(B194="",F194=0),0,N(C194)*F194*G194)</f>
        <v>0</v>
      </c>
      <c r="I194" s="20" t="str">
        <f aca="false">IF(B194="","",LOWER(TRIM(B194))&amp;" | "&amp;LOWER(TRIM(D194)))</f>
        <v/>
      </c>
      <c r="J194" s="18" t="str">
        <f aca="false">IF(H194&lt;=0,"",IF(COUNTIFS(I$5:I193,I194,H$5:H193,"&gt;0")=0,IFERROR(MATCH(E194,Lists!$A$2:$A$8,0),7)*10000+ROW(),""))</f>
        <v/>
      </c>
    </row>
    <row r="195" customFormat="false" ht="15" hidden="false" customHeight="false" outlineLevel="0" collapsed="false">
      <c r="A195" s="10"/>
      <c r="B195" s="10"/>
      <c r="C195" s="17"/>
      <c r="D195" s="10"/>
      <c r="E195" s="10"/>
      <c r="F195" s="18" t="n">
        <f aca="false">IF(A195="",0,COUNTIF(Week!$B$6:$E$12,A195))</f>
        <v>0</v>
      </c>
      <c r="G195" s="19" t="n">
        <f aca="false">IF(A195="",1,IFERROR(IF(N(INDEX(Meals!$B$6:$B$65,MATCH(A195,Meals!$A$6:$A$65,0)))&gt;0,Week!$B$3/INDEX(Meals!$B$6:$B$65,MATCH(A195,Meals!$A$6:$A$65,0)),1),1))</f>
        <v>1</v>
      </c>
      <c r="H195" s="19" t="n">
        <f aca="false">IF(OR(B195="",F195=0),0,N(C195)*F195*G195)</f>
        <v>0</v>
      </c>
      <c r="I195" s="20" t="str">
        <f aca="false">IF(B195="","",LOWER(TRIM(B195))&amp;" | "&amp;LOWER(TRIM(D195)))</f>
        <v/>
      </c>
      <c r="J195" s="18" t="str">
        <f aca="false">IF(H195&lt;=0,"",IF(COUNTIFS(I$5:I194,I195,H$5:H194,"&gt;0")=0,IFERROR(MATCH(E195,Lists!$A$2:$A$8,0),7)*10000+ROW(),""))</f>
        <v/>
      </c>
    </row>
    <row r="196" customFormat="false" ht="15" hidden="false" customHeight="false" outlineLevel="0" collapsed="false">
      <c r="A196" s="10"/>
      <c r="B196" s="10"/>
      <c r="C196" s="17"/>
      <c r="D196" s="10"/>
      <c r="E196" s="10"/>
      <c r="F196" s="18" t="n">
        <f aca="false">IF(A196="",0,COUNTIF(Week!$B$6:$E$12,A196))</f>
        <v>0</v>
      </c>
      <c r="G196" s="19" t="n">
        <f aca="false">IF(A196="",1,IFERROR(IF(N(INDEX(Meals!$B$6:$B$65,MATCH(A196,Meals!$A$6:$A$65,0)))&gt;0,Week!$B$3/INDEX(Meals!$B$6:$B$65,MATCH(A196,Meals!$A$6:$A$65,0)),1),1))</f>
        <v>1</v>
      </c>
      <c r="H196" s="19" t="n">
        <f aca="false">IF(OR(B196="",F196=0),0,N(C196)*F196*G196)</f>
        <v>0</v>
      </c>
      <c r="I196" s="20" t="str">
        <f aca="false">IF(B196="","",LOWER(TRIM(B196))&amp;" | "&amp;LOWER(TRIM(D196)))</f>
        <v/>
      </c>
      <c r="J196" s="18" t="str">
        <f aca="false">IF(H196&lt;=0,"",IF(COUNTIFS(I$5:I195,I196,H$5:H195,"&gt;0")=0,IFERROR(MATCH(E196,Lists!$A$2:$A$8,0),7)*10000+ROW(),""))</f>
        <v/>
      </c>
    </row>
    <row r="197" customFormat="false" ht="15" hidden="false" customHeight="false" outlineLevel="0" collapsed="false">
      <c r="A197" s="10"/>
      <c r="B197" s="10"/>
      <c r="C197" s="17"/>
      <c r="D197" s="10"/>
      <c r="E197" s="10"/>
      <c r="F197" s="18" t="n">
        <f aca="false">IF(A197="",0,COUNTIF(Week!$B$6:$E$12,A197))</f>
        <v>0</v>
      </c>
      <c r="G197" s="19" t="n">
        <f aca="false">IF(A197="",1,IFERROR(IF(N(INDEX(Meals!$B$6:$B$65,MATCH(A197,Meals!$A$6:$A$65,0)))&gt;0,Week!$B$3/INDEX(Meals!$B$6:$B$65,MATCH(A197,Meals!$A$6:$A$65,0)),1),1))</f>
        <v>1</v>
      </c>
      <c r="H197" s="19" t="n">
        <f aca="false">IF(OR(B197="",F197=0),0,N(C197)*F197*G197)</f>
        <v>0</v>
      </c>
      <c r="I197" s="20" t="str">
        <f aca="false">IF(B197="","",LOWER(TRIM(B197))&amp;" | "&amp;LOWER(TRIM(D197)))</f>
        <v/>
      </c>
      <c r="J197" s="18" t="str">
        <f aca="false">IF(H197&lt;=0,"",IF(COUNTIFS(I$5:I196,I197,H$5:H196,"&gt;0")=0,IFERROR(MATCH(E197,Lists!$A$2:$A$8,0),7)*10000+ROW(),""))</f>
        <v/>
      </c>
    </row>
    <row r="198" customFormat="false" ht="15" hidden="false" customHeight="false" outlineLevel="0" collapsed="false">
      <c r="A198" s="10"/>
      <c r="B198" s="10"/>
      <c r="C198" s="17"/>
      <c r="D198" s="10"/>
      <c r="E198" s="10"/>
      <c r="F198" s="18" t="n">
        <f aca="false">IF(A198="",0,COUNTIF(Week!$B$6:$E$12,A198))</f>
        <v>0</v>
      </c>
      <c r="G198" s="19" t="n">
        <f aca="false">IF(A198="",1,IFERROR(IF(N(INDEX(Meals!$B$6:$B$65,MATCH(A198,Meals!$A$6:$A$65,0)))&gt;0,Week!$B$3/INDEX(Meals!$B$6:$B$65,MATCH(A198,Meals!$A$6:$A$65,0)),1),1))</f>
        <v>1</v>
      </c>
      <c r="H198" s="19" t="n">
        <f aca="false">IF(OR(B198="",F198=0),0,N(C198)*F198*G198)</f>
        <v>0</v>
      </c>
      <c r="I198" s="20" t="str">
        <f aca="false">IF(B198="","",LOWER(TRIM(B198))&amp;" | "&amp;LOWER(TRIM(D198)))</f>
        <v/>
      </c>
      <c r="J198" s="18" t="str">
        <f aca="false">IF(H198&lt;=0,"",IF(COUNTIFS(I$5:I197,I198,H$5:H197,"&gt;0")=0,IFERROR(MATCH(E198,Lists!$A$2:$A$8,0),7)*10000+ROW(),""))</f>
        <v/>
      </c>
    </row>
    <row r="199" customFormat="false" ht="15" hidden="false" customHeight="false" outlineLevel="0" collapsed="false">
      <c r="A199" s="10"/>
      <c r="B199" s="10"/>
      <c r="C199" s="17"/>
      <c r="D199" s="10"/>
      <c r="E199" s="10"/>
      <c r="F199" s="18" t="n">
        <f aca="false">IF(A199="",0,COUNTIF(Week!$B$6:$E$12,A199))</f>
        <v>0</v>
      </c>
      <c r="G199" s="19" t="n">
        <f aca="false">IF(A199="",1,IFERROR(IF(N(INDEX(Meals!$B$6:$B$65,MATCH(A199,Meals!$A$6:$A$65,0)))&gt;0,Week!$B$3/INDEX(Meals!$B$6:$B$65,MATCH(A199,Meals!$A$6:$A$65,0)),1),1))</f>
        <v>1</v>
      </c>
      <c r="H199" s="19" t="n">
        <f aca="false">IF(OR(B199="",F199=0),0,N(C199)*F199*G199)</f>
        <v>0</v>
      </c>
      <c r="I199" s="20" t="str">
        <f aca="false">IF(B199="","",LOWER(TRIM(B199))&amp;" | "&amp;LOWER(TRIM(D199)))</f>
        <v/>
      </c>
      <c r="J199" s="18" t="str">
        <f aca="false">IF(H199&lt;=0,"",IF(COUNTIFS(I$5:I198,I199,H$5:H198,"&gt;0")=0,IFERROR(MATCH(E199,Lists!$A$2:$A$8,0),7)*10000+ROW(),""))</f>
        <v/>
      </c>
    </row>
    <row r="200" customFormat="false" ht="15" hidden="false" customHeight="false" outlineLevel="0" collapsed="false">
      <c r="A200" s="10"/>
      <c r="B200" s="10"/>
      <c r="C200" s="17"/>
      <c r="D200" s="10"/>
      <c r="E200" s="10"/>
      <c r="F200" s="18" t="n">
        <f aca="false">IF(A200="",0,COUNTIF(Week!$B$6:$E$12,A200))</f>
        <v>0</v>
      </c>
      <c r="G200" s="19" t="n">
        <f aca="false">IF(A200="",1,IFERROR(IF(N(INDEX(Meals!$B$6:$B$65,MATCH(A200,Meals!$A$6:$A$65,0)))&gt;0,Week!$B$3/INDEX(Meals!$B$6:$B$65,MATCH(A200,Meals!$A$6:$A$65,0)),1),1))</f>
        <v>1</v>
      </c>
      <c r="H200" s="19" t="n">
        <f aca="false">IF(OR(B200="",F200=0),0,N(C200)*F200*G200)</f>
        <v>0</v>
      </c>
      <c r="I200" s="20" t="str">
        <f aca="false">IF(B200="","",LOWER(TRIM(B200))&amp;" | "&amp;LOWER(TRIM(D200)))</f>
        <v/>
      </c>
      <c r="J200" s="18" t="str">
        <f aca="false">IF(H200&lt;=0,"",IF(COUNTIFS(I$5:I199,I200,H$5:H199,"&gt;0")=0,IFERROR(MATCH(E200,Lists!$A$2:$A$8,0),7)*10000+ROW(),""))</f>
        <v/>
      </c>
    </row>
    <row r="201" customFormat="false" ht="15" hidden="false" customHeight="false" outlineLevel="0" collapsed="false">
      <c r="A201" s="10"/>
      <c r="B201" s="10"/>
      <c r="C201" s="17"/>
      <c r="D201" s="10"/>
      <c r="E201" s="10"/>
      <c r="F201" s="18" t="n">
        <f aca="false">IF(A201="",0,COUNTIF(Week!$B$6:$E$12,A201))</f>
        <v>0</v>
      </c>
      <c r="G201" s="19" t="n">
        <f aca="false">IF(A201="",1,IFERROR(IF(N(INDEX(Meals!$B$6:$B$65,MATCH(A201,Meals!$A$6:$A$65,0)))&gt;0,Week!$B$3/INDEX(Meals!$B$6:$B$65,MATCH(A201,Meals!$A$6:$A$65,0)),1),1))</f>
        <v>1</v>
      </c>
      <c r="H201" s="19" t="n">
        <f aca="false">IF(OR(B201="",F201=0),0,N(C201)*F201*G201)</f>
        <v>0</v>
      </c>
      <c r="I201" s="20" t="str">
        <f aca="false">IF(B201="","",LOWER(TRIM(B201))&amp;" | "&amp;LOWER(TRIM(D201)))</f>
        <v/>
      </c>
      <c r="J201" s="18" t="str">
        <f aca="false">IF(H201&lt;=0,"",IF(COUNTIFS(I$5:I200,I201,H$5:H200,"&gt;0")=0,IFERROR(MATCH(E201,Lists!$A$2:$A$8,0),7)*10000+ROW(),""))</f>
        <v/>
      </c>
    </row>
    <row r="202" customFormat="false" ht="15" hidden="false" customHeight="false" outlineLevel="0" collapsed="false">
      <c r="A202" s="10"/>
      <c r="B202" s="10"/>
      <c r="C202" s="17"/>
      <c r="D202" s="10"/>
      <c r="E202" s="10"/>
      <c r="F202" s="18" t="n">
        <f aca="false">IF(A202="",0,COUNTIF(Week!$B$6:$E$12,A202))</f>
        <v>0</v>
      </c>
      <c r="G202" s="19" t="n">
        <f aca="false">IF(A202="",1,IFERROR(IF(N(INDEX(Meals!$B$6:$B$65,MATCH(A202,Meals!$A$6:$A$65,0)))&gt;0,Week!$B$3/INDEX(Meals!$B$6:$B$65,MATCH(A202,Meals!$A$6:$A$65,0)),1),1))</f>
        <v>1</v>
      </c>
      <c r="H202" s="19" t="n">
        <f aca="false">IF(OR(B202="",F202=0),0,N(C202)*F202*G202)</f>
        <v>0</v>
      </c>
      <c r="I202" s="20" t="str">
        <f aca="false">IF(B202="","",LOWER(TRIM(B202))&amp;" | "&amp;LOWER(TRIM(D202)))</f>
        <v/>
      </c>
      <c r="J202" s="18" t="str">
        <f aca="false">IF(H202&lt;=0,"",IF(COUNTIFS(I$5:I201,I202,H$5:H201,"&gt;0")=0,IFERROR(MATCH(E202,Lists!$A$2:$A$8,0),7)*10000+ROW(),""))</f>
        <v/>
      </c>
    </row>
    <row r="203" customFormat="false" ht="15" hidden="false" customHeight="false" outlineLevel="0" collapsed="false">
      <c r="A203" s="10"/>
      <c r="B203" s="10"/>
      <c r="C203" s="17"/>
      <c r="D203" s="10"/>
      <c r="E203" s="10"/>
      <c r="F203" s="18" t="n">
        <f aca="false">IF(A203="",0,COUNTIF(Week!$B$6:$E$12,A203))</f>
        <v>0</v>
      </c>
      <c r="G203" s="19" t="n">
        <f aca="false">IF(A203="",1,IFERROR(IF(N(INDEX(Meals!$B$6:$B$65,MATCH(A203,Meals!$A$6:$A$65,0)))&gt;0,Week!$B$3/INDEX(Meals!$B$6:$B$65,MATCH(A203,Meals!$A$6:$A$65,0)),1),1))</f>
        <v>1</v>
      </c>
      <c r="H203" s="19" t="n">
        <f aca="false">IF(OR(B203="",F203=0),0,N(C203)*F203*G203)</f>
        <v>0</v>
      </c>
      <c r="I203" s="20" t="str">
        <f aca="false">IF(B203="","",LOWER(TRIM(B203))&amp;" | "&amp;LOWER(TRIM(D203)))</f>
        <v/>
      </c>
      <c r="J203" s="18" t="str">
        <f aca="false">IF(H203&lt;=0,"",IF(COUNTIFS(I$5:I202,I203,H$5:H202,"&gt;0")=0,IFERROR(MATCH(E203,Lists!$A$2:$A$8,0),7)*10000+ROW(),""))</f>
        <v/>
      </c>
    </row>
    <row r="204" customFormat="false" ht="15" hidden="false" customHeight="false" outlineLevel="0" collapsed="false">
      <c r="A204" s="10"/>
      <c r="B204" s="10"/>
      <c r="C204" s="17"/>
      <c r="D204" s="10"/>
      <c r="E204" s="10"/>
      <c r="F204" s="18" t="n">
        <f aca="false">IF(A204="",0,COUNTIF(Week!$B$6:$E$12,A204))</f>
        <v>0</v>
      </c>
      <c r="G204" s="19" t="n">
        <f aca="false">IF(A204="",1,IFERROR(IF(N(INDEX(Meals!$B$6:$B$65,MATCH(A204,Meals!$A$6:$A$65,0)))&gt;0,Week!$B$3/INDEX(Meals!$B$6:$B$65,MATCH(A204,Meals!$A$6:$A$65,0)),1),1))</f>
        <v>1</v>
      </c>
      <c r="H204" s="19" t="n">
        <f aca="false">IF(OR(B204="",F204=0),0,N(C204)*F204*G204)</f>
        <v>0</v>
      </c>
      <c r="I204" s="20" t="str">
        <f aca="false">IF(B204="","",LOWER(TRIM(B204))&amp;" | "&amp;LOWER(TRIM(D204)))</f>
        <v/>
      </c>
      <c r="J204" s="18" t="str">
        <f aca="false">IF(H204&lt;=0,"",IF(COUNTIFS(I$5:I203,I204,H$5:H203,"&gt;0")=0,IFERROR(MATCH(E204,Lists!$A$2:$A$8,0),7)*10000+ROW(),""))</f>
        <v/>
      </c>
    </row>
    <row r="205" customFormat="false" ht="15" hidden="false" customHeight="false" outlineLevel="0" collapsed="false">
      <c r="A205" s="10"/>
      <c r="B205" s="10"/>
      <c r="C205" s="17"/>
      <c r="D205" s="10"/>
      <c r="E205" s="10"/>
      <c r="F205" s="18" t="n">
        <f aca="false">IF(A205="",0,COUNTIF(Week!$B$6:$E$12,A205))</f>
        <v>0</v>
      </c>
      <c r="G205" s="19" t="n">
        <f aca="false">IF(A205="",1,IFERROR(IF(N(INDEX(Meals!$B$6:$B$65,MATCH(A205,Meals!$A$6:$A$65,0)))&gt;0,Week!$B$3/INDEX(Meals!$B$6:$B$65,MATCH(A205,Meals!$A$6:$A$65,0)),1),1))</f>
        <v>1</v>
      </c>
      <c r="H205" s="19" t="n">
        <f aca="false">IF(OR(B205="",F205=0),0,N(C205)*F205*G205)</f>
        <v>0</v>
      </c>
      <c r="I205" s="20" t="str">
        <f aca="false">IF(B205="","",LOWER(TRIM(B205))&amp;" | "&amp;LOWER(TRIM(D205)))</f>
        <v/>
      </c>
      <c r="J205" s="18" t="str">
        <f aca="false">IF(H205&lt;=0,"",IF(COUNTIFS(I$5:I204,I205,H$5:H204,"&gt;0")=0,IFERROR(MATCH(E205,Lists!$A$2:$A$8,0),7)*10000+ROW(),""))</f>
        <v/>
      </c>
    </row>
    <row r="206" customFormat="false" ht="15" hidden="false" customHeight="false" outlineLevel="0" collapsed="false">
      <c r="A206" s="10"/>
      <c r="B206" s="10"/>
      <c r="C206" s="17"/>
      <c r="D206" s="10"/>
      <c r="E206" s="10"/>
      <c r="F206" s="18" t="n">
        <f aca="false">IF(A206="",0,COUNTIF(Week!$B$6:$E$12,A206))</f>
        <v>0</v>
      </c>
      <c r="G206" s="19" t="n">
        <f aca="false">IF(A206="",1,IFERROR(IF(N(INDEX(Meals!$B$6:$B$65,MATCH(A206,Meals!$A$6:$A$65,0)))&gt;0,Week!$B$3/INDEX(Meals!$B$6:$B$65,MATCH(A206,Meals!$A$6:$A$65,0)),1),1))</f>
        <v>1</v>
      </c>
      <c r="H206" s="19" t="n">
        <f aca="false">IF(OR(B206="",F206=0),0,N(C206)*F206*G206)</f>
        <v>0</v>
      </c>
      <c r="I206" s="20" t="str">
        <f aca="false">IF(B206="","",LOWER(TRIM(B206))&amp;" | "&amp;LOWER(TRIM(D206)))</f>
        <v/>
      </c>
      <c r="J206" s="18" t="str">
        <f aca="false">IF(H206&lt;=0,"",IF(COUNTIFS(I$5:I205,I206,H$5:H205,"&gt;0")=0,IFERROR(MATCH(E206,Lists!$A$2:$A$8,0),7)*10000+ROW(),""))</f>
        <v/>
      </c>
    </row>
    <row r="207" customFormat="false" ht="15" hidden="false" customHeight="false" outlineLevel="0" collapsed="false">
      <c r="A207" s="10"/>
      <c r="B207" s="10"/>
      <c r="C207" s="17"/>
      <c r="D207" s="10"/>
      <c r="E207" s="10"/>
      <c r="F207" s="18" t="n">
        <f aca="false">IF(A207="",0,COUNTIF(Week!$B$6:$E$12,A207))</f>
        <v>0</v>
      </c>
      <c r="G207" s="19" t="n">
        <f aca="false">IF(A207="",1,IFERROR(IF(N(INDEX(Meals!$B$6:$B$65,MATCH(A207,Meals!$A$6:$A$65,0)))&gt;0,Week!$B$3/INDEX(Meals!$B$6:$B$65,MATCH(A207,Meals!$A$6:$A$65,0)),1),1))</f>
        <v>1</v>
      </c>
      <c r="H207" s="19" t="n">
        <f aca="false">IF(OR(B207="",F207=0),0,N(C207)*F207*G207)</f>
        <v>0</v>
      </c>
      <c r="I207" s="20" t="str">
        <f aca="false">IF(B207="","",LOWER(TRIM(B207))&amp;" | "&amp;LOWER(TRIM(D207)))</f>
        <v/>
      </c>
      <c r="J207" s="18" t="str">
        <f aca="false">IF(H207&lt;=0,"",IF(COUNTIFS(I$5:I206,I207,H$5:H206,"&gt;0")=0,IFERROR(MATCH(E207,Lists!$A$2:$A$8,0),7)*10000+ROW(),""))</f>
        <v/>
      </c>
    </row>
    <row r="208" customFormat="false" ht="15" hidden="false" customHeight="false" outlineLevel="0" collapsed="false">
      <c r="A208" s="10"/>
      <c r="B208" s="10"/>
      <c r="C208" s="17"/>
      <c r="D208" s="10"/>
      <c r="E208" s="10"/>
      <c r="F208" s="18" t="n">
        <f aca="false">IF(A208="",0,COUNTIF(Week!$B$6:$E$12,A208))</f>
        <v>0</v>
      </c>
      <c r="G208" s="19" t="n">
        <f aca="false">IF(A208="",1,IFERROR(IF(N(INDEX(Meals!$B$6:$B$65,MATCH(A208,Meals!$A$6:$A$65,0)))&gt;0,Week!$B$3/INDEX(Meals!$B$6:$B$65,MATCH(A208,Meals!$A$6:$A$65,0)),1),1))</f>
        <v>1</v>
      </c>
      <c r="H208" s="19" t="n">
        <f aca="false">IF(OR(B208="",F208=0),0,N(C208)*F208*G208)</f>
        <v>0</v>
      </c>
      <c r="I208" s="20" t="str">
        <f aca="false">IF(B208="","",LOWER(TRIM(B208))&amp;" | "&amp;LOWER(TRIM(D208)))</f>
        <v/>
      </c>
      <c r="J208" s="18" t="str">
        <f aca="false">IF(H208&lt;=0,"",IF(COUNTIFS(I$5:I207,I208,H$5:H207,"&gt;0")=0,IFERROR(MATCH(E208,Lists!$A$2:$A$8,0),7)*10000+ROW(),""))</f>
        <v/>
      </c>
    </row>
    <row r="209" customFormat="false" ht="15" hidden="false" customHeight="false" outlineLevel="0" collapsed="false">
      <c r="A209" s="10"/>
      <c r="B209" s="10"/>
      <c r="C209" s="17"/>
      <c r="D209" s="10"/>
      <c r="E209" s="10"/>
      <c r="F209" s="18" t="n">
        <f aca="false">IF(A209="",0,COUNTIF(Week!$B$6:$E$12,A209))</f>
        <v>0</v>
      </c>
      <c r="G209" s="19" t="n">
        <f aca="false">IF(A209="",1,IFERROR(IF(N(INDEX(Meals!$B$6:$B$65,MATCH(A209,Meals!$A$6:$A$65,0)))&gt;0,Week!$B$3/INDEX(Meals!$B$6:$B$65,MATCH(A209,Meals!$A$6:$A$65,0)),1),1))</f>
        <v>1</v>
      </c>
      <c r="H209" s="19" t="n">
        <f aca="false">IF(OR(B209="",F209=0),0,N(C209)*F209*G209)</f>
        <v>0</v>
      </c>
      <c r="I209" s="20" t="str">
        <f aca="false">IF(B209="","",LOWER(TRIM(B209))&amp;" | "&amp;LOWER(TRIM(D209)))</f>
        <v/>
      </c>
      <c r="J209" s="18" t="str">
        <f aca="false">IF(H209&lt;=0,"",IF(COUNTIFS(I$5:I208,I209,H$5:H208,"&gt;0")=0,IFERROR(MATCH(E209,Lists!$A$2:$A$8,0),7)*10000+ROW(),""))</f>
        <v/>
      </c>
    </row>
    <row r="210" customFormat="false" ht="15" hidden="false" customHeight="false" outlineLevel="0" collapsed="false">
      <c r="A210" s="10"/>
      <c r="B210" s="10"/>
      <c r="C210" s="17"/>
      <c r="D210" s="10"/>
      <c r="E210" s="10"/>
      <c r="F210" s="18" t="n">
        <f aca="false">IF(A210="",0,COUNTIF(Week!$B$6:$E$12,A210))</f>
        <v>0</v>
      </c>
      <c r="G210" s="19" t="n">
        <f aca="false">IF(A210="",1,IFERROR(IF(N(INDEX(Meals!$B$6:$B$65,MATCH(A210,Meals!$A$6:$A$65,0)))&gt;0,Week!$B$3/INDEX(Meals!$B$6:$B$65,MATCH(A210,Meals!$A$6:$A$65,0)),1),1))</f>
        <v>1</v>
      </c>
      <c r="H210" s="19" t="n">
        <f aca="false">IF(OR(B210="",F210=0),0,N(C210)*F210*G210)</f>
        <v>0</v>
      </c>
      <c r="I210" s="20" t="str">
        <f aca="false">IF(B210="","",LOWER(TRIM(B210))&amp;" | "&amp;LOWER(TRIM(D210)))</f>
        <v/>
      </c>
      <c r="J210" s="18" t="str">
        <f aca="false">IF(H210&lt;=0,"",IF(COUNTIFS(I$5:I209,I210,H$5:H209,"&gt;0")=0,IFERROR(MATCH(E210,Lists!$A$2:$A$8,0),7)*10000+ROW(),""))</f>
        <v/>
      </c>
    </row>
    <row r="211" customFormat="false" ht="15" hidden="false" customHeight="false" outlineLevel="0" collapsed="false">
      <c r="A211" s="10"/>
      <c r="B211" s="10"/>
      <c r="C211" s="17"/>
      <c r="D211" s="10"/>
      <c r="E211" s="10"/>
      <c r="F211" s="18" t="n">
        <f aca="false">IF(A211="",0,COUNTIF(Week!$B$6:$E$12,A211))</f>
        <v>0</v>
      </c>
      <c r="G211" s="19" t="n">
        <f aca="false">IF(A211="",1,IFERROR(IF(N(INDEX(Meals!$B$6:$B$65,MATCH(A211,Meals!$A$6:$A$65,0)))&gt;0,Week!$B$3/INDEX(Meals!$B$6:$B$65,MATCH(A211,Meals!$A$6:$A$65,0)),1),1))</f>
        <v>1</v>
      </c>
      <c r="H211" s="19" t="n">
        <f aca="false">IF(OR(B211="",F211=0),0,N(C211)*F211*G211)</f>
        <v>0</v>
      </c>
      <c r="I211" s="20" t="str">
        <f aca="false">IF(B211="","",LOWER(TRIM(B211))&amp;" | "&amp;LOWER(TRIM(D211)))</f>
        <v/>
      </c>
      <c r="J211" s="18" t="str">
        <f aca="false">IF(H211&lt;=0,"",IF(COUNTIFS(I$5:I210,I211,H$5:H210,"&gt;0")=0,IFERROR(MATCH(E211,Lists!$A$2:$A$8,0),7)*10000+ROW(),""))</f>
        <v/>
      </c>
    </row>
    <row r="212" customFormat="false" ht="15" hidden="false" customHeight="false" outlineLevel="0" collapsed="false">
      <c r="A212" s="10"/>
      <c r="B212" s="10"/>
      <c r="C212" s="17"/>
      <c r="D212" s="10"/>
      <c r="E212" s="10"/>
      <c r="F212" s="18" t="n">
        <f aca="false">IF(A212="",0,COUNTIF(Week!$B$6:$E$12,A212))</f>
        <v>0</v>
      </c>
      <c r="G212" s="19" t="n">
        <f aca="false">IF(A212="",1,IFERROR(IF(N(INDEX(Meals!$B$6:$B$65,MATCH(A212,Meals!$A$6:$A$65,0)))&gt;0,Week!$B$3/INDEX(Meals!$B$6:$B$65,MATCH(A212,Meals!$A$6:$A$65,0)),1),1))</f>
        <v>1</v>
      </c>
      <c r="H212" s="19" t="n">
        <f aca="false">IF(OR(B212="",F212=0),0,N(C212)*F212*G212)</f>
        <v>0</v>
      </c>
      <c r="I212" s="20" t="str">
        <f aca="false">IF(B212="","",LOWER(TRIM(B212))&amp;" | "&amp;LOWER(TRIM(D212)))</f>
        <v/>
      </c>
      <c r="J212" s="18" t="str">
        <f aca="false">IF(H212&lt;=0,"",IF(COUNTIFS(I$5:I211,I212,H$5:H211,"&gt;0")=0,IFERROR(MATCH(E212,Lists!$A$2:$A$8,0),7)*10000+ROW(),""))</f>
        <v/>
      </c>
    </row>
    <row r="213" customFormat="false" ht="15" hidden="false" customHeight="false" outlineLevel="0" collapsed="false">
      <c r="A213" s="10"/>
      <c r="B213" s="10"/>
      <c r="C213" s="17"/>
      <c r="D213" s="10"/>
      <c r="E213" s="10"/>
      <c r="F213" s="18" t="n">
        <f aca="false">IF(A213="",0,COUNTIF(Week!$B$6:$E$12,A213))</f>
        <v>0</v>
      </c>
      <c r="G213" s="19" t="n">
        <f aca="false">IF(A213="",1,IFERROR(IF(N(INDEX(Meals!$B$6:$B$65,MATCH(A213,Meals!$A$6:$A$65,0)))&gt;0,Week!$B$3/INDEX(Meals!$B$6:$B$65,MATCH(A213,Meals!$A$6:$A$65,0)),1),1))</f>
        <v>1</v>
      </c>
      <c r="H213" s="19" t="n">
        <f aca="false">IF(OR(B213="",F213=0),0,N(C213)*F213*G213)</f>
        <v>0</v>
      </c>
      <c r="I213" s="20" t="str">
        <f aca="false">IF(B213="","",LOWER(TRIM(B213))&amp;" | "&amp;LOWER(TRIM(D213)))</f>
        <v/>
      </c>
      <c r="J213" s="18" t="str">
        <f aca="false">IF(H213&lt;=0,"",IF(COUNTIFS(I$5:I212,I213,H$5:H212,"&gt;0")=0,IFERROR(MATCH(E213,Lists!$A$2:$A$8,0),7)*10000+ROW(),""))</f>
        <v/>
      </c>
    </row>
    <row r="214" customFormat="false" ht="15" hidden="false" customHeight="false" outlineLevel="0" collapsed="false">
      <c r="A214" s="10"/>
      <c r="B214" s="10"/>
      <c r="C214" s="17"/>
      <c r="D214" s="10"/>
      <c r="E214" s="10"/>
      <c r="F214" s="18" t="n">
        <f aca="false">IF(A214="",0,COUNTIF(Week!$B$6:$E$12,A214))</f>
        <v>0</v>
      </c>
      <c r="G214" s="19" t="n">
        <f aca="false">IF(A214="",1,IFERROR(IF(N(INDEX(Meals!$B$6:$B$65,MATCH(A214,Meals!$A$6:$A$65,0)))&gt;0,Week!$B$3/INDEX(Meals!$B$6:$B$65,MATCH(A214,Meals!$A$6:$A$65,0)),1),1))</f>
        <v>1</v>
      </c>
      <c r="H214" s="19" t="n">
        <f aca="false">IF(OR(B214="",F214=0),0,N(C214)*F214*G214)</f>
        <v>0</v>
      </c>
      <c r="I214" s="20" t="str">
        <f aca="false">IF(B214="","",LOWER(TRIM(B214))&amp;" | "&amp;LOWER(TRIM(D214)))</f>
        <v/>
      </c>
      <c r="J214" s="18" t="str">
        <f aca="false">IF(H214&lt;=0,"",IF(COUNTIFS(I$5:I213,I214,H$5:H213,"&gt;0")=0,IFERROR(MATCH(E214,Lists!$A$2:$A$8,0),7)*10000+ROW(),""))</f>
        <v/>
      </c>
    </row>
    <row r="215" customFormat="false" ht="15" hidden="false" customHeight="false" outlineLevel="0" collapsed="false">
      <c r="A215" s="10"/>
      <c r="B215" s="10"/>
      <c r="C215" s="17"/>
      <c r="D215" s="10"/>
      <c r="E215" s="10"/>
      <c r="F215" s="18" t="n">
        <f aca="false">IF(A215="",0,COUNTIF(Week!$B$6:$E$12,A215))</f>
        <v>0</v>
      </c>
      <c r="G215" s="19" t="n">
        <f aca="false">IF(A215="",1,IFERROR(IF(N(INDEX(Meals!$B$6:$B$65,MATCH(A215,Meals!$A$6:$A$65,0)))&gt;0,Week!$B$3/INDEX(Meals!$B$6:$B$65,MATCH(A215,Meals!$A$6:$A$65,0)),1),1))</f>
        <v>1</v>
      </c>
      <c r="H215" s="19" t="n">
        <f aca="false">IF(OR(B215="",F215=0),0,N(C215)*F215*G215)</f>
        <v>0</v>
      </c>
      <c r="I215" s="20" t="str">
        <f aca="false">IF(B215="","",LOWER(TRIM(B215))&amp;" | "&amp;LOWER(TRIM(D215)))</f>
        <v/>
      </c>
      <c r="J215" s="18" t="str">
        <f aca="false">IF(H215&lt;=0,"",IF(COUNTIFS(I$5:I214,I215,H$5:H214,"&gt;0")=0,IFERROR(MATCH(E215,Lists!$A$2:$A$8,0),7)*10000+ROW(),""))</f>
        <v/>
      </c>
    </row>
    <row r="216" customFormat="false" ht="15" hidden="false" customHeight="false" outlineLevel="0" collapsed="false">
      <c r="A216" s="10"/>
      <c r="B216" s="10"/>
      <c r="C216" s="17"/>
      <c r="D216" s="10"/>
      <c r="E216" s="10"/>
      <c r="F216" s="18" t="n">
        <f aca="false">IF(A216="",0,COUNTIF(Week!$B$6:$E$12,A216))</f>
        <v>0</v>
      </c>
      <c r="G216" s="19" t="n">
        <f aca="false">IF(A216="",1,IFERROR(IF(N(INDEX(Meals!$B$6:$B$65,MATCH(A216,Meals!$A$6:$A$65,0)))&gt;0,Week!$B$3/INDEX(Meals!$B$6:$B$65,MATCH(A216,Meals!$A$6:$A$65,0)),1),1))</f>
        <v>1</v>
      </c>
      <c r="H216" s="19" t="n">
        <f aca="false">IF(OR(B216="",F216=0),0,N(C216)*F216*G216)</f>
        <v>0</v>
      </c>
      <c r="I216" s="20" t="str">
        <f aca="false">IF(B216="","",LOWER(TRIM(B216))&amp;" | "&amp;LOWER(TRIM(D216)))</f>
        <v/>
      </c>
      <c r="J216" s="18" t="str">
        <f aca="false">IF(H216&lt;=0,"",IF(COUNTIFS(I$5:I215,I216,H$5:H215,"&gt;0")=0,IFERROR(MATCH(E216,Lists!$A$2:$A$8,0),7)*10000+ROW(),""))</f>
        <v/>
      </c>
    </row>
    <row r="217" customFormat="false" ht="15" hidden="false" customHeight="false" outlineLevel="0" collapsed="false">
      <c r="A217" s="10"/>
      <c r="B217" s="10"/>
      <c r="C217" s="17"/>
      <c r="D217" s="10"/>
      <c r="E217" s="10"/>
      <c r="F217" s="18" t="n">
        <f aca="false">IF(A217="",0,COUNTIF(Week!$B$6:$E$12,A217))</f>
        <v>0</v>
      </c>
      <c r="G217" s="19" t="n">
        <f aca="false">IF(A217="",1,IFERROR(IF(N(INDEX(Meals!$B$6:$B$65,MATCH(A217,Meals!$A$6:$A$65,0)))&gt;0,Week!$B$3/INDEX(Meals!$B$6:$B$65,MATCH(A217,Meals!$A$6:$A$65,0)),1),1))</f>
        <v>1</v>
      </c>
      <c r="H217" s="19" t="n">
        <f aca="false">IF(OR(B217="",F217=0),0,N(C217)*F217*G217)</f>
        <v>0</v>
      </c>
      <c r="I217" s="20" t="str">
        <f aca="false">IF(B217="","",LOWER(TRIM(B217))&amp;" | "&amp;LOWER(TRIM(D217)))</f>
        <v/>
      </c>
      <c r="J217" s="18" t="str">
        <f aca="false">IF(H217&lt;=0,"",IF(COUNTIFS(I$5:I216,I217,H$5:H216,"&gt;0")=0,IFERROR(MATCH(E217,Lists!$A$2:$A$8,0),7)*10000+ROW(),""))</f>
        <v/>
      </c>
    </row>
    <row r="218" customFormat="false" ht="15" hidden="false" customHeight="false" outlineLevel="0" collapsed="false">
      <c r="A218" s="10"/>
      <c r="B218" s="10"/>
      <c r="C218" s="17"/>
      <c r="D218" s="10"/>
      <c r="E218" s="10"/>
      <c r="F218" s="18" t="n">
        <f aca="false">IF(A218="",0,COUNTIF(Week!$B$6:$E$12,A218))</f>
        <v>0</v>
      </c>
      <c r="G218" s="19" t="n">
        <f aca="false">IF(A218="",1,IFERROR(IF(N(INDEX(Meals!$B$6:$B$65,MATCH(A218,Meals!$A$6:$A$65,0)))&gt;0,Week!$B$3/INDEX(Meals!$B$6:$B$65,MATCH(A218,Meals!$A$6:$A$65,0)),1),1))</f>
        <v>1</v>
      </c>
      <c r="H218" s="19" t="n">
        <f aca="false">IF(OR(B218="",F218=0),0,N(C218)*F218*G218)</f>
        <v>0</v>
      </c>
      <c r="I218" s="20" t="str">
        <f aca="false">IF(B218="","",LOWER(TRIM(B218))&amp;" | "&amp;LOWER(TRIM(D218)))</f>
        <v/>
      </c>
      <c r="J218" s="18" t="str">
        <f aca="false">IF(H218&lt;=0,"",IF(COUNTIFS(I$5:I217,I218,H$5:H217,"&gt;0")=0,IFERROR(MATCH(E218,Lists!$A$2:$A$8,0),7)*10000+ROW(),""))</f>
        <v/>
      </c>
    </row>
    <row r="219" customFormat="false" ht="15" hidden="false" customHeight="false" outlineLevel="0" collapsed="false">
      <c r="A219" s="10"/>
      <c r="B219" s="10"/>
      <c r="C219" s="17"/>
      <c r="D219" s="10"/>
      <c r="E219" s="10"/>
      <c r="F219" s="18" t="n">
        <f aca="false">IF(A219="",0,COUNTIF(Week!$B$6:$E$12,A219))</f>
        <v>0</v>
      </c>
      <c r="G219" s="19" t="n">
        <f aca="false">IF(A219="",1,IFERROR(IF(N(INDEX(Meals!$B$6:$B$65,MATCH(A219,Meals!$A$6:$A$65,0)))&gt;0,Week!$B$3/INDEX(Meals!$B$6:$B$65,MATCH(A219,Meals!$A$6:$A$65,0)),1),1))</f>
        <v>1</v>
      </c>
      <c r="H219" s="19" t="n">
        <f aca="false">IF(OR(B219="",F219=0),0,N(C219)*F219*G219)</f>
        <v>0</v>
      </c>
      <c r="I219" s="20" t="str">
        <f aca="false">IF(B219="","",LOWER(TRIM(B219))&amp;" | "&amp;LOWER(TRIM(D219)))</f>
        <v/>
      </c>
      <c r="J219" s="18" t="str">
        <f aca="false">IF(H219&lt;=0,"",IF(COUNTIFS(I$5:I218,I219,H$5:H218,"&gt;0")=0,IFERROR(MATCH(E219,Lists!$A$2:$A$8,0),7)*10000+ROW(),""))</f>
        <v/>
      </c>
    </row>
    <row r="220" customFormat="false" ht="15" hidden="false" customHeight="false" outlineLevel="0" collapsed="false">
      <c r="A220" s="10"/>
      <c r="B220" s="10"/>
      <c r="C220" s="17"/>
      <c r="D220" s="10"/>
      <c r="E220" s="10"/>
      <c r="F220" s="18" t="n">
        <f aca="false">IF(A220="",0,COUNTIF(Week!$B$6:$E$12,A220))</f>
        <v>0</v>
      </c>
      <c r="G220" s="19" t="n">
        <f aca="false">IF(A220="",1,IFERROR(IF(N(INDEX(Meals!$B$6:$B$65,MATCH(A220,Meals!$A$6:$A$65,0)))&gt;0,Week!$B$3/INDEX(Meals!$B$6:$B$65,MATCH(A220,Meals!$A$6:$A$65,0)),1),1))</f>
        <v>1</v>
      </c>
      <c r="H220" s="19" t="n">
        <f aca="false">IF(OR(B220="",F220=0),0,N(C220)*F220*G220)</f>
        <v>0</v>
      </c>
      <c r="I220" s="20" t="str">
        <f aca="false">IF(B220="","",LOWER(TRIM(B220))&amp;" | "&amp;LOWER(TRIM(D220)))</f>
        <v/>
      </c>
      <c r="J220" s="18" t="str">
        <f aca="false">IF(H220&lt;=0,"",IF(COUNTIFS(I$5:I219,I220,H$5:H219,"&gt;0")=0,IFERROR(MATCH(E220,Lists!$A$2:$A$8,0),7)*10000+ROW(),""))</f>
        <v/>
      </c>
    </row>
    <row r="221" customFormat="false" ht="15" hidden="false" customHeight="false" outlineLevel="0" collapsed="false">
      <c r="A221" s="10"/>
      <c r="B221" s="10"/>
      <c r="C221" s="17"/>
      <c r="D221" s="10"/>
      <c r="E221" s="10"/>
      <c r="F221" s="18" t="n">
        <f aca="false">IF(A221="",0,COUNTIF(Week!$B$6:$E$12,A221))</f>
        <v>0</v>
      </c>
      <c r="G221" s="19" t="n">
        <f aca="false">IF(A221="",1,IFERROR(IF(N(INDEX(Meals!$B$6:$B$65,MATCH(A221,Meals!$A$6:$A$65,0)))&gt;0,Week!$B$3/INDEX(Meals!$B$6:$B$65,MATCH(A221,Meals!$A$6:$A$65,0)),1),1))</f>
        <v>1</v>
      </c>
      <c r="H221" s="19" t="n">
        <f aca="false">IF(OR(B221="",F221=0),0,N(C221)*F221*G221)</f>
        <v>0</v>
      </c>
      <c r="I221" s="20" t="str">
        <f aca="false">IF(B221="","",LOWER(TRIM(B221))&amp;" | "&amp;LOWER(TRIM(D221)))</f>
        <v/>
      </c>
      <c r="J221" s="18" t="str">
        <f aca="false">IF(H221&lt;=0,"",IF(COUNTIFS(I$5:I220,I221,H$5:H220,"&gt;0")=0,IFERROR(MATCH(E221,Lists!$A$2:$A$8,0),7)*10000+ROW(),""))</f>
        <v/>
      </c>
    </row>
    <row r="222" customFormat="false" ht="15" hidden="false" customHeight="false" outlineLevel="0" collapsed="false">
      <c r="A222" s="10"/>
      <c r="B222" s="10"/>
      <c r="C222" s="17"/>
      <c r="D222" s="10"/>
      <c r="E222" s="10"/>
      <c r="F222" s="18" t="n">
        <f aca="false">IF(A222="",0,COUNTIF(Week!$B$6:$E$12,A222))</f>
        <v>0</v>
      </c>
      <c r="G222" s="19" t="n">
        <f aca="false">IF(A222="",1,IFERROR(IF(N(INDEX(Meals!$B$6:$B$65,MATCH(A222,Meals!$A$6:$A$65,0)))&gt;0,Week!$B$3/INDEX(Meals!$B$6:$B$65,MATCH(A222,Meals!$A$6:$A$65,0)),1),1))</f>
        <v>1</v>
      </c>
      <c r="H222" s="19" t="n">
        <f aca="false">IF(OR(B222="",F222=0),0,N(C222)*F222*G222)</f>
        <v>0</v>
      </c>
      <c r="I222" s="20" t="str">
        <f aca="false">IF(B222="","",LOWER(TRIM(B222))&amp;" | "&amp;LOWER(TRIM(D222)))</f>
        <v/>
      </c>
      <c r="J222" s="18" t="str">
        <f aca="false">IF(H222&lt;=0,"",IF(COUNTIFS(I$5:I221,I222,H$5:H221,"&gt;0")=0,IFERROR(MATCH(E222,Lists!$A$2:$A$8,0),7)*10000+ROW(),""))</f>
        <v/>
      </c>
    </row>
    <row r="223" customFormat="false" ht="15" hidden="false" customHeight="false" outlineLevel="0" collapsed="false">
      <c r="A223" s="10"/>
      <c r="B223" s="10"/>
      <c r="C223" s="17"/>
      <c r="D223" s="10"/>
      <c r="E223" s="10"/>
      <c r="F223" s="18" t="n">
        <f aca="false">IF(A223="",0,COUNTIF(Week!$B$6:$E$12,A223))</f>
        <v>0</v>
      </c>
      <c r="G223" s="19" t="n">
        <f aca="false">IF(A223="",1,IFERROR(IF(N(INDEX(Meals!$B$6:$B$65,MATCH(A223,Meals!$A$6:$A$65,0)))&gt;0,Week!$B$3/INDEX(Meals!$B$6:$B$65,MATCH(A223,Meals!$A$6:$A$65,0)),1),1))</f>
        <v>1</v>
      </c>
      <c r="H223" s="19" t="n">
        <f aca="false">IF(OR(B223="",F223=0),0,N(C223)*F223*G223)</f>
        <v>0</v>
      </c>
      <c r="I223" s="20" t="str">
        <f aca="false">IF(B223="","",LOWER(TRIM(B223))&amp;" | "&amp;LOWER(TRIM(D223)))</f>
        <v/>
      </c>
      <c r="J223" s="18" t="str">
        <f aca="false">IF(H223&lt;=0,"",IF(COUNTIFS(I$5:I222,I223,H$5:H222,"&gt;0")=0,IFERROR(MATCH(E223,Lists!$A$2:$A$8,0),7)*10000+ROW(),""))</f>
        <v/>
      </c>
    </row>
    <row r="224" customFormat="false" ht="15" hidden="false" customHeight="false" outlineLevel="0" collapsed="false">
      <c r="A224" s="10"/>
      <c r="B224" s="10"/>
      <c r="C224" s="17"/>
      <c r="D224" s="10"/>
      <c r="E224" s="10"/>
      <c r="F224" s="18" t="n">
        <f aca="false">IF(A224="",0,COUNTIF(Week!$B$6:$E$12,A224))</f>
        <v>0</v>
      </c>
      <c r="G224" s="19" t="n">
        <f aca="false">IF(A224="",1,IFERROR(IF(N(INDEX(Meals!$B$6:$B$65,MATCH(A224,Meals!$A$6:$A$65,0)))&gt;0,Week!$B$3/INDEX(Meals!$B$6:$B$65,MATCH(A224,Meals!$A$6:$A$65,0)),1),1))</f>
        <v>1</v>
      </c>
      <c r="H224" s="19" t="n">
        <f aca="false">IF(OR(B224="",F224=0),0,N(C224)*F224*G224)</f>
        <v>0</v>
      </c>
      <c r="I224" s="20" t="str">
        <f aca="false">IF(B224="","",LOWER(TRIM(B224))&amp;" | "&amp;LOWER(TRIM(D224)))</f>
        <v/>
      </c>
      <c r="J224" s="18" t="str">
        <f aca="false">IF(H224&lt;=0,"",IF(COUNTIFS(I$5:I223,I224,H$5:H223,"&gt;0")=0,IFERROR(MATCH(E224,Lists!$A$2:$A$8,0),7)*10000+ROW(),""))</f>
        <v/>
      </c>
    </row>
    <row r="225" customFormat="false" ht="15" hidden="false" customHeight="false" outlineLevel="0" collapsed="false">
      <c r="A225" s="10"/>
      <c r="B225" s="10"/>
      <c r="C225" s="17"/>
      <c r="D225" s="10"/>
      <c r="E225" s="10"/>
      <c r="F225" s="18" t="n">
        <f aca="false">IF(A225="",0,COUNTIF(Week!$B$6:$E$12,A225))</f>
        <v>0</v>
      </c>
      <c r="G225" s="19" t="n">
        <f aca="false">IF(A225="",1,IFERROR(IF(N(INDEX(Meals!$B$6:$B$65,MATCH(A225,Meals!$A$6:$A$65,0)))&gt;0,Week!$B$3/INDEX(Meals!$B$6:$B$65,MATCH(A225,Meals!$A$6:$A$65,0)),1),1))</f>
        <v>1</v>
      </c>
      <c r="H225" s="19" t="n">
        <f aca="false">IF(OR(B225="",F225=0),0,N(C225)*F225*G225)</f>
        <v>0</v>
      </c>
      <c r="I225" s="20" t="str">
        <f aca="false">IF(B225="","",LOWER(TRIM(B225))&amp;" | "&amp;LOWER(TRIM(D225)))</f>
        <v/>
      </c>
      <c r="J225" s="18" t="str">
        <f aca="false">IF(H225&lt;=0,"",IF(COUNTIFS(I$5:I224,I225,H$5:H224,"&gt;0")=0,IFERROR(MATCH(E225,Lists!$A$2:$A$8,0),7)*10000+ROW(),""))</f>
        <v/>
      </c>
    </row>
    <row r="226" customFormat="false" ht="15" hidden="false" customHeight="false" outlineLevel="0" collapsed="false">
      <c r="A226" s="10"/>
      <c r="B226" s="10"/>
      <c r="C226" s="17"/>
      <c r="D226" s="10"/>
      <c r="E226" s="10"/>
      <c r="F226" s="18" t="n">
        <f aca="false">IF(A226="",0,COUNTIF(Week!$B$6:$E$12,A226))</f>
        <v>0</v>
      </c>
      <c r="G226" s="19" t="n">
        <f aca="false">IF(A226="",1,IFERROR(IF(N(INDEX(Meals!$B$6:$B$65,MATCH(A226,Meals!$A$6:$A$65,0)))&gt;0,Week!$B$3/INDEX(Meals!$B$6:$B$65,MATCH(A226,Meals!$A$6:$A$65,0)),1),1))</f>
        <v>1</v>
      </c>
      <c r="H226" s="19" t="n">
        <f aca="false">IF(OR(B226="",F226=0),0,N(C226)*F226*G226)</f>
        <v>0</v>
      </c>
      <c r="I226" s="20" t="str">
        <f aca="false">IF(B226="","",LOWER(TRIM(B226))&amp;" | "&amp;LOWER(TRIM(D226)))</f>
        <v/>
      </c>
      <c r="J226" s="18" t="str">
        <f aca="false">IF(H226&lt;=0,"",IF(COUNTIFS(I$5:I225,I226,H$5:H225,"&gt;0")=0,IFERROR(MATCH(E226,Lists!$A$2:$A$8,0),7)*10000+ROW(),""))</f>
        <v/>
      </c>
    </row>
    <row r="227" customFormat="false" ht="15" hidden="false" customHeight="false" outlineLevel="0" collapsed="false">
      <c r="A227" s="10"/>
      <c r="B227" s="10"/>
      <c r="C227" s="17"/>
      <c r="D227" s="10"/>
      <c r="E227" s="10"/>
      <c r="F227" s="18" t="n">
        <f aca="false">IF(A227="",0,COUNTIF(Week!$B$6:$E$12,A227))</f>
        <v>0</v>
      </c>
      <c r="G227" s="19" t="n">
        <f aca="false">IF(A227="",1,IFERROR(IF(N(INDEX(Meals!$B$6:$B$65,MATCH(A227,Meals!$A$6:$A$65,0)))&gt;0,Week!$B$3/INDEX(Meals!$B$6:$B$65,MATCH(A227,Meals!$A$6:$A$65,0)),1),1))</f>
        <v>1</v>
      </c>
      <c r="H227" s="19" t="n">
        <f aca="false">IF(OR(B227="",F227=0),0,N(C227)*F227*G227)</f>
        <v>0</v>
      </c>
      <c r="I227" s="20" t="str">
        <f aca="false">IF(B227="","",LOWER(TRIM(B227))&amp;" | "&amp;LOWER(TRIM(D227)))</f>
        <v/>
      </c>
      <c r="J227" s="18" t="str">
        <f aca="false">IF(H227&lt;=0,"",IF(COUNTIFS(I$5:I226,I227,H$5:H226,"&gt;0")=0,IFERROR(MATCH(E227,Lists!$A$2:$A$8,0),7)*10000+ROW(),""))</f>
        <v/>
      </c>
    </row>
    <row r="228" customFormat="false" ht="15" hidden="false" customHeight="false" outlineLevel="0" collapsed="false">
      <c r="A228" s="10"/>
      <c r="B228" s="10"/>
      <c r="C228" s="17"/>
      <c r="D228" s="10"/>
      <c r="E228" s="10"/>
      <c r="F228" s="18" t="n">
        <f aca="false">IF(A228="",0,COUNTIF(Week!$B$6:$E$12,A228))</f>
        <v>0</v>
      </c>
      <c r="G228" s="19" t="n">
        <f aca="false">IF(A228="",1,IFERROR(IF(N(INDEX(Meals!$B$6:$B$65,MATCH(A228,Meals!$A$6:$A$65,0)))&gt;0,Week!$B$3/INDEX(Meals!$B$6:$B$65,MATCH(A228,Meals!$A$6:$A$65,0)),1),1))</f>
        <v>1</v>
      </c>
      <c r="H228" s="19" t="n">
        <f aca="false">IF(OR(B228="",F228=0),0,N(C228)*F228*G228)</f>
        <v>0</v>
      </c>
      <c r="I228" s="20" t="str">
        <f aca="false">IF(B228="","",LOWER(TRIM(B228))&amp;" | "&amp;LOWER(TRIM(D228)))</f>
        <v/>
      </c>
      <c r="J228" s="18" t="str">
        <f aca="false">IF(H228&lt;=0,"",IF(COUNTIFS(I$5:I227,I228,H$5:H227,"&gt;0")=0,IFERROR(MATCH(E228,Lists!$A$2:$A$8,0),7)*10000+ROW(),""))</f>
        <v/>
      </c>
    </row>
    <row r="229" customFormat="false" ht="15" hidden="false" customHeight="false" outlineLevel="0" collapsed="false">
      <c r="A229" s="10"/>
      <c r="B229" s="10"/>
      <c r="C229" s="17"/>
      <c r="D229" s="10"/>
      <c r="E229" s="10"/>
      <c r="F229" s="18" t="n">
        <f aca="false">IF(A229="",0,COUNTIF(Week!$B$6:$E$12,A229))</f>
        <v>0</v>
      </c>
      <c r="G229" s="19" t="n">
        <f aca="false">IF(A229="",1,IFERROR(IF(N(INDEX(Meals!$B$6:$B$65,MATCH(A229,Meals!$A$6:$A$65,0)))&gt;0,Week!$B$3/INDEX(Meals!$B$6:$B$65,MATCH(A229,Meals!$A$6:$A$65,0)),1),1))</f>
        <v>1</v>
      </c>
      <c r="H229" s="19" t="n">
        <f aca="false">IF(OR(B229="",F229=0),0,N(C229)*F229*G229)</f>
        <v>0</v>
      </c>
      <c r="I229" s="20" t="str">
        <f aca="false">IF(B229="","",LOWER(TRIM(B229))&amp;" | "&amp;LOWER(TRIM(D229)))</f>
        <v/>
      </c>
      <c r="J229" s="18" t="str">
        <f aca="false">IF(H229&lt;=0,"",IF(COUNTIFS(I$5:I228,I229,H$5:H228,"&gt;0")=0,IFERROR(MATCH(E229,Lists!$A$2:$A$8,0),7)*10000+ROW(),""))</f>
        <v/>
      </c>
    </row>
    <row r="230" customFormat="false" ht="15" hidden="false" customHeight="false" outlineLevel="0" collapsed="false">
      <c r="A230" s="10"/>
      <c r="B230" s="10"/>
      <c r="C230" s="17"/>
      <c r="D230" s="10"/>
      <c r="E230" s="10"/>
      <c r="F230" s="18" t="n">
        <f aca="false">IF(A230="",0,COUNTIF(Week!$B$6:$E$12,A230))</f>
        <v>0</v>
      </c>
      <c r="G230" s="19" t="n">
        <f aca="false">IF(A230="",1,IFERROR(IF(N(INDEX(Meals!$B$6:$B$65,MATCH(A230,Meals!$A$6:$A$65,0)))&gt;0,Week!$B$3/INDEX(Meals!$B$6:$B$65,MATCH(A230,Meals!$A$6:$A$65,0)),1),1))</f>
        <v>1</v>
      </c>
      <c r="H230" s="19" t="n">
        <f aca="false">IF(OR(B230="",F230=0),0,N(C230)*F230*G230)</f>
        <v>0</v>
      </c>
      <c r="I230" s="20" t="str">
        <f aca="false">IF(B230="","",LOWER(TRIM(B230))&amp;" | "&amp;LOWER(TRIM(D230)))</f>
        <v/>
      </c>
      <c r="J230" s="18" t="str">
        <f aca="false">IF(H230&lt;=0,"",IF(COUNTIFS(I$5:I229,I230,H$5:H229,"&gt;0")=0,IFERROR(MATCH(E230,Lists!$A$2:$A$8,0),7)*10000+ROW(),""))</f>
        <v/>
      </c>
    </row>
    <row r="231" customFormat="false" ht="15" hidden="false" customHeight="false" outlineLevel="0" collapsed="false">
      <c r="A231" s="10"/>
      <c r="B231" s="10"/>
      <c r="C231" s="17"/>
      <c r="D231" s="10"/>
      <c r="E231" s="10"/>
      <c r="F231" s="18" t="n">
        <f aca="false">IF(A231="",0,COUNTIF(Week!$B$6:$E$12,A231))</f>
        <v>0</v>
      </c>
      <c r="G231" s="19" t="n">
        <f aca="false">IF(A231="",1,IFERROR(IF(N(INDEX(Meals!$B$6:$B$65,MATCH(A231,Meals!$A$6:$A$65,0)))&gt;0,Week!$B$3/INDEX(Meals!$B$6:$B$65,MATCH(A231,Meals!$A$6:$A$65,0)),1),1))</f>
        <v>1</v>
      </c>
      <c r="H231" s="19" t="n">
        <f aca="false">IF(OR(B231="",F231=0),0,N(C231)*F231*G231)</f>
        <v>0</v>
      </c>
      <c r="I231" s="20" t="str">
        <f aca="false">IF(B231="","",LOWER(TRIM(B231))&amp;" | "&amp;LOWER(TRIM(D231)))</f>
        <v/>
      </c>
      <c r="J231" s="18" t="str">
        <f aca="false">IF(H231&lt;=0,"",IF(COUNTIFS(I$5:I230,I231,H$5:H230,"&gt;0")=0,IFERROR(MATCH(E231,Lists!$A$2:$A$8,0),7)*10000+ROW(),""))</f>
        <v/>
      </c>
    </row>
    <row r="232" customFormat="false" ht="15" hidden="false" customHeight="false" outlineLevel="0" collapsed="false">
      <c r="A232" s="10"/>
      <c r="B232" s="10"/>
      <c r="C232" s="17"/>
      <c r="D232" s="10"/>
      <c r="E232" s="10"/>
      <c r="F232" s="18" t="n">
        <f aca="false">IF(A232="",0,COUNTIF(Week!$B$6:$E$12,A232))</f>
        <v>0</v>
      </c>
      <c r="G232" s="19" t="n">
        <f aca="false">IF(A232="",1,IFERROR(IF(N(INDEX(Meals!$B$6:$B$65,MATCH(A232,Meals!$A$6:$A$65,0)))&gt;0,Week!$B$3/INDEX(Meals!$B$6:$B$65,MATCH(A232,Meals!$A$6:$A$65,0)),1),1))</f>
        <v>1</v>
      </c>
      <c r="H232" s="19" t="n">
        <f aca="false">IF(OR(B232="",F232=0),0,N(C232)*F232*G232)</f>
        <v>0</v>
      </c>
      <c r="I232" s="20" t="str">
        <f aca="false">IF(B232="","",LOWER(TRIM(B232))&amp;" | "&amp;LOWER(TRIM(D232)))</f>
        <v/>
      </c>
      <c r="J232" s="18" t="str">
        <f aca="false">IF(H232&lt;=0,"",IF(COUNTIFS(I$5:I231,I232,H$5:H231,"&gt;0")=0,IFERROR(MATCH(E232,Lists!$A$2:$A$8,0),7)*10000+ROW(),""))</f>
        <v/>
      </c>
    </row>
    <row r="233" customFormat="false" ht="15" hidden="false" customHeight="false" outlineLevel="0" collapsed="false">
      <c r="A233" s="10"/>
      <c r="B233" s="10"/>
      <c r="C233" s="17"/>
      <c r="D233" s="10"/>
      <c r="E233" s="10"/>
      <c r="F233" s="18" t="n">
        <f aca="false">IF(A233="",0,COUNTIF(Week!$B$6:$E$12,A233))</f>
        <v>0</v>
      </c>
      <c r="G233" s="19" t="n">
        <f aca="false">IF(A233="",1,IFERROR(IF(N(INDEX(Meals!$B$6:$B$65,MATCH(A233,Meals!$A$6:$A$65,0)))&gt;0,Week!$B$3/INDEX(Meals!$B$6:$B$65,MATCH(A233,Meals!$A$6:$A$65,0)),1),1))</f>
        <v>1</v>
      </c>
      <c r="H233" s="19" t="n">
        <f aca="false">IF(OR(B233="",F233=0),0,N(C233)*F233*G233)</f>
        <v>0</v>
      </c>
      <c r="I233" s="20" t="str">
        <f aca="false">IF(B233="","",LOWER(TRIM(B233))&amp;" | "&amp;LOWER(TRIM(D233)))</f>
        <v/>
      </c>
      <c r="J233" s="18" t="str">
        <f aca="false">IF(H233&lt;=0,"",IF(COUNTIFS(I$5:I232,I233,H$5:H232,"&gt;0")=0,IFERROR(MATCH(E233,Lists!$A$2:$A$8,0),7)*10000+ROW(),""))</f>
        <v/>
      </c>
    </row>
    <row r="234" customFormat="false" ht="15" hidden="false" customHeight="false" outlineLevel="0" collapsed="false">
      <c r="A234" s="10"/>
      <c r="B234" s="10"/>
      <c r="C234" s="17"/>
      <c r="D234" s="10"/>
      <c r="E234" s="10"/>
      <c r="F234" s="18" t="n">
        <f aca="false">IF(A234="",0,COUNTIF(Week!$B$6:$E$12,A234))</f>
        <v>0</v>
      </c>
      <c r="G234" s="19" t="n">
        <f aca="false">IF(A234="",1,IFERROR(IF(N(INDEX(Meals!$B$6:$B$65,MATCH(A234,Meals!$A$6:$A$65,0)))&gt;0,Week!$B$3/INDEX(Meals!$B$6:$B$65,MATCH(A234,Meals!$A$6:$A$65,0)),1),1))</f>
        <v>1</v>
      </c>
      <c r="H234" s="19" t="n">
        <f aca="false">IF(OR(B234="",F234=0),0,N(C234)*F234*G234)</f>
        <v>0</v>
      </c>
      <c r="I234" s="20" t="str">
        <f aca="false">IF(B234="","",LOWER(TRIM(B234))&amp;" | "&amp;LOWER(TRIM(D234)))</f>
        <v/>
      </c>
      <c r="J234" s="18" t="str">
        <f aca="false">IF(H234&lt;=0,"",IF(COUNTIFS(I$5:I233,I234,H$5:H233,"&gt;0")=0,IFERROR(MATCH(E234,Lists!$A$2:$A$8,0),7)*10000+ROW(),""))</f>
        <v/>
      </c>
    </row>
    <row r="235" customFormat="false" ht="15" hidden="false" customHeight="false" outlineLevel="0" collapsed="false">
      <c r="A235" s="10"/>
      <c r="B235" s="10"/>
      <c r="C235" s="17"/>
      <c r="D235" s="10"/>
      <c r="E235" s="10"/>
      <c r="F235" s="18" t="n">
        <f aca="false">IF(A235="",0,COUNTIF(Week!$B$6:$E$12,A235))</f>
        <v>0</v>
      </c>
      <c r="G235" s="19" t="n">
        <f aca="false">IF(A235="",1,IFERROR(IF(N(INDEX(Meals!$B$6:$B$65,MATCH(A235,Meals!$A$6:$A$65,0)))&gt;0,Week!$B$3/INDEX(Meals!$B$6:$B$65,MATCH(A235,Meals!$A$6:$A$65,0)),1),1))</f>
        <v>1</v>
      </c>
      <c r="H235" s="19" t="n">
        <f aca="false">IF(OR(B235="",F235=0),0,N(C235)*F235*G235)</f>
        <v>0</v>
      </c>
      <c r="I235" s="20" t="str">
        <f aca="false">IF(B235="","",LOWER(TRIM(B235))&amp;" | "&amp;LOWER(TRIM(D235)))</f>
        <v/>
      </c>
      <c r="J235" s="18" t="str">
        <f aca="false">IF(H235&lt;=0,"",IF(COUNTIFS(I$5:I234,I235,H$5:H234,"&gt;0")=0,IFERROR(MATCH(E235,Lists!$A$2:$A$8,0),7)*10000+ROW(),""))</f>
        <v/>
      </c>
    </row>
    <row r="236" customFormat="false" ht="15" hidden="false" customHeight="false" outlineLevel="0" collapsed="false">
      <c r="A236" s="10"/>
      <c r="B236" s="10"/>
      <c r="C236" s="17"/>
      <c r="D236" s="10"/>
      <c r="E236" s="10"/>
      <c r="F236" s="18" t="n">
        <f aca="false">IF(A236="",0,COUNTIF(Week!$B$6:$E$12,A236))</f>
        <v>0</v>
      </c>
      <c r="G236" s="19" t="n">
        <f aca="false">IF(A236="",1,IFERROR(IF(N(INDEX(Meals!$B$6:$B$65,MATCH(A236,Meals!$A$6:$A$65,0)))&gt;0,Week!$B$3/INDEX(Meals!$B$6:$B$65,MATCH(A236,Meals!$A$6:$A$65,0)),1),1))</f>
        <v>1</v>
      </c>
      <c r="H236" s="19" t="n">
        <f aca="false">IF(OR(B236="",F236=0),0,N(C236)*F236*G236)</f>
        <v>0</v>
      </c>
      <c r="I236" s="20" t="str">
        <f aca="false">IF(B236="","",LOWER(TRIM(B236))&amp;" | "&amp;LOWER(TRIM(D236)))</f>
        <v/>
      </c>
      <c r="J236" s="18" t="str">
        <f aca="false">IF(H236&lt;=0,"",IF(COUNTIFS(I$5:I235,I236,H$5:H235,"&gt;0")=0,IFERROR(MATCH(E236,Lists!$A$2:$A$8,0),7)*10000+ROW(),""))</f>
        <v/>
      </c>
    </row>
    <row r="237" customFormat="false" ht="15" hidden="false" customHeight="false" outlineLevel="0" collapsed="false">
      <c r="A237" s="10"/>
      <c r="B237" s="10"/>
      <c r="C237" s="17"/>
      <c r="D237" s="10"/>
      <c r="E237" s="10"/>
      <c r="F237" s="18" t="n">
        <f aca="false">IF(A237="",0,COUNTIF(Week!$B$6:$E$12,A237))</f>
        <v>0</v>
      </c>
      <c r="G237" s="19" t="n">
        <f aca="false">IF(A237="",1,IFERROR(IF(N(INDEX(Meals!$B$6:$B$65,MATCH(A237,Meals!$A$6:$A$65,0)))&gt;0,Week!$B$3/INDEX(Meals!$B$6:$B$65,MATCH(A237,Meals!$A$6:$A$65,0)),1),1))</f>
        <v>1</v>
      </c>
      <c r="H237" s="19" t="n">
        <f aca="false">IF(OR(B237="",F237=0),0,N(C237)*F237*G237)</f>
        <v>0</v>
      </c>
      <c r="I237" s="20" t="str">
        <f aca="false">IF(B237="","",LOWER(TRIM(B237))&amp;" | "&amp;LOWER(TRIM(D237)))</f>
        <v/>
      </c>
      <c r="J237" s="18" t="str">
        <f aca="false">IF(H237&lt;=0,"",IF(COUNTIFS(I$5:I236,I237,H$5:H236,"&gt;0")=0,IFERROR(MATCH(E237,Lists!$A$2:$A$8,0),7)*10000+ROW(),""))</f>
        <v/>
      </c>
    </row>
    <row r="238" customFormat="false" ht="15" hidden="false" customHeight="false" outlineLevel="0" collapsed="false">
      <c r="A238" s="10"/>
      <c r="B238" s="10"/>
      <c r="C238" s="17"/>
      <c r="D238" s="10"/>
      <c r="E238" s="10"/>
      <c r="F238" s="18" t="n">
        <f aca="false">IF(A238="",0,COUNTIF(Week!$B$6:$E$12,A238))</f>
        <v>0</v>
      </c>
      <c r="G238" s="19" t="n">
        <f aca="false">IF(A238="",1,IFERROR(IF(N(INDEX(Meals!$B$6:$B$65,MATCH(A238,Meals!$A$6:$A$65,0)))&gt;0,Week!$B$3/INDEX(Meals!$B$6:$B$65,MATCH(A238,Meals!$A$6:$A$65,0)),1),1))</f>
        <v>1</v>
      </c>
      <c r="H238" s="19" t="n">
        <f aca="false">IF(OR(B238="",F238=0),0,N(C238)*F238*G238)</f>
        <v>0</v>
      </c>
      <c r="I238" s="20" t="str">
        <f aca="false">IF(B238="","",LOWER(TRIM(B238))&amp;" | "&amp;LOWER(TRIM(D238)))</f>
        <v/>
      </c>
      <c r="J238" s="18" t="str">
        <f aca="false">IF(H238&lt;=0,"",IF(COUNTIFS(I$5:I237,I238,H$5:H237,"&gt;0")=0,IFERROR(MATCH(E238,Lists!$A$2:$A$8,0),7)*10000+ROW(),""))</f>
        <v/>
      </c>
    </row>
    <row r="239" customFormat="false" ht="15" hidden="false" customHeight="false" outlineLevel="0" collapsed="false">
      <c r="A239" s="10"/>
      <c r="B239" s="10"/>
      <c r="C239" s="17"/>
      <c r="D239" s="10"/>
      <c r="E239" s="10"/>
      <c r="F239" s="18" t="n">
        <f aca="false">IF(A239="",0,COUNTIF(Week!$B$6:$E$12,A239))</f>
        <v>0</v>
      </c>
      <c r="G239" s="19" t="n">
        <f aca="false">IF(A239="",1,IFERROR(IF(N(INDEX(Meals!$B$6:$B$65,MATCH(A239,Meals!$A$6:$A$65,0)))&gt;0,Week!$B$3/INDEX(Meals!$B$6:$B$65,MATCH(A239,Meals!$A$6:$A$65,0)),1),1))</f>
        <v>1</v>
      </c>
      <c r="H239" s="19" t="n">
        <f aca="false">IF(OR(B239="",F239=0),0,N(C239)*F239*G239)</f>
        <v>0</v>
      </c>
      <c r="I239" s="20" t="str">
        <f aca="false">IF(B239="","",LOWER(TRIM(B239))&amp;" | "&amp;LOWER(TRIM(D239)))</f>
        <v/>
      </c>
      <c r="J239" s="18" t="str">
        <f aca="false">IF(H239&lt;=0,"",IF(COUNTIFS(I$5:I238,I239,H$5:H238,"&gt;0")=0,IFERROR(MATCH(E239,Lists!$A$2:$A$8,0),7)*10000+ROW(),""))</f>
        <v/>
      </c>
    </row>
    <row r="240" customFormat="false" ht="15" hidden="false" customHeight="false" outlineLevel="0" collapsed="false">
      <c r="A240" s="10"/>
      <c r="B240" s="10"/>
      <c r="C240" s="17"/>
      <c r="D240" s="10"/>
      <c r="E240" s="10"/>
      <c r="F240" s="18" t="n">
        <f aca="false">IF(A240="",0,COUNTIF(Week!$B$6:$E$12,A240))</f>
        <v>0</v>
      </c>
      <c r="G240" s="19" t="n">
        <f aca="false">IF(A240="",1,IFERROR(IF(N(INDEX(Meals!$B$6:$B$65,MATCH(A240,Meals!$A$6:$A$65,0)))&gt;0,Week!$B$3/INDEX(Meals!$B$6:$B$65,MATCH(A240,Meals!$A$6:$A$65,0)),1),1))</f>
        <v>1</v>
      </c>
      <c r="H240" s="19" t="n">
        <f aca="false">IF(OR(B240="",F240=0),0,N(C240)*F240*G240)</f>
        <v>0</v>
      </c>
      <c r="I240" s="20" t="str">
        <f aca="false">IF(B240="","",LOWER(TRIM(B240))&amp;" | "&amp;LOWER(TRIM(D240)))</f>
        <v/>
      </c>
      <c r="J240" s="18" t="str">
        <f aca="false">IF(H240&lt;=0,"",IF(COUNTIFS(I$5:I239,I240,H$5:H239,"&gt;0")=0,IFERROR(MATCH(E240,Lists!$A$2:$A$8,0),7)*10000+ROW(),""))</f>
        <v/>
      </c>
    </row>
    <row r="241" customFormat="false" ht="15" hidden="false" customHeight="false" outlineLevel="0" collapsed="false">
      <c r="A241" s="10"/>
      <c r="B241" s="10"/>
      <c r="C241" s="17"/>
      <c r="D241" s="10"/>
      <c r="E241" s="10"/>
      <c r="F241" s="18" t="n">
        <f aca="false">IF(A241="",0,COUNTIF(Week!$B$6:$E$12,A241))</f>
        <v>0</v>
      </c>
      <c r="G241" s="19" t="n">
        <f aca="false">IF(A241="",1,IFERROR(IF(N(INDEX(Meals!$B$6:$B$65,MATCH(A241,Meals!$A$6:$A$65,0)))&gt;0,Week!$B$3/INDEX(Meals!$B$6:$B$65,MATCH(A241,Meals!$A$6:$A$65,0)),1),1))</f>
        <v>1</v>
      </c>
      <c r="H241" s="19" t="n">
        <f aca="false">IF(OR(B241="",F241=0),0,N(C241)*F241*G241)</f>
        <v>0</v>
      </c>
      <c r="I241" s="20" t="str">
        <f aca="false">IF(B241="","",LOWER(TRIM(B241))&amp;" | "&amp;LOWER(TRIM(D241)))</f>
        <v/>
      </c>
      <c r="J241" s="18" t="str">
        <f aca="false">IF(H241&lt;=0,"",IF(COUNTIFS(I$5:I240,I241,H$5:H240,"&gt;0")=0,IFERROR(MATCH(E241,Lists!$A$2:$A$8,0),7)*10000+ROW(),""))</f>
        <v/>
      </c>
    </row>
    <row r="242" customFormat="false" ht="15" hidden="false" customHeight="false" outlineLevel="0" collapsed="false">
      <c r="A242" s="10"/>
      <c r="B242" s="10"/>
      <c r="C242" s="17"/>
      <c r="D242" s="10"/>
      <c r="E242" s="10"/>
      <c r="F242" s="18" t="n">
        <f aca="false">IF(A242="",0,COUNTIF(Week!$B$6:$E$12,A242))</f>
        <v>0</v>
      </c>
      <c r="G242" s="19" t="n">
        <f aca="false">IF(A242="",1,IFERROR(IF(N(INDEX(Meals!$B$6:$B$65,MATCH(A242,Meals!$A$6:$A$65,0)))&gt;0,Week!$B$3/INDEX(Meals!$B$6:$B$65,MATCH(A242,Meals!$A$6:$A$65,0)),1),1))</f>
        <v>1</v>
      </c>
      <c r="H242" s="19" t="n">
        <f aca="false">IF(OR(B242="",F242=0),0,N(C242)*F242*G242)</f>
        <v>0</v>
      </c>
      <c r="I242" s="20" t="str">
        <f aca="false">IF(B242="","",LOWER(TRIM(B242))&amp;" | "&amp;LOWER(TRIM(D242)))</f>
        <v/>
      </c>
      <c r="J242" s="18" t="str">
        <f aca="false">IF(H242&lt;=0,"",IF(COUNTIFS(I$5:I241,I242,H$5:H241,"&gt;0")=0,IFERROR(MATCH(E242,Lists!$A$2:$A$8,0),7)*10000+ROW(),""))</f>
        <v/>
      </c>
    </row>
    <row r="243" customFormat="false" ht="15" hidden="false" customHeight="false" outlineLevel="0" collapsed="false">
      <c r="A243" s="10"/>
      <c r="B243" s="10"/>
      <c r="C243" s="17"/>
      <c r="D243" s="10"/>
      <c r="E243" s="10"/>
      <c r="F243" s="18" t="n">
        <f aca="false">IF(A243="",0,COUNTIF(Week!$B$6:$E$12,A243))</f>
        <v>0</v>
      </c>
      <c r="G243" s="19" t="n">
        <f aca="false">IF(A243="",1,IFERROR(IF(N(INDEX(Meals!$B$6:$B$65,MATCH(A243,Meals!$A$6:$A$65,0)))&gt;0,Week!$B$3/INDEX(Meals!$B$6:$B$65,MATCH(A243,Meals!$A$6:$A$65,0)),1),1))</f>
        <v>1</v>
      </c>
      <c r="H243" s="19" t="n">
        <f aca="false">IF(OR(B243="",F243=0),0,N(C243)*F243*G243)</f>
        <v>0</v>
      </c>
      <c r="I243" s="20" t="str">
        <f aca="false">IF(B243="","",LOWER(TRIM(B243))&amp;" | "&amp;LOWER(TRIM(D243)))</f>
        <v/>
      </c>
      <c r="J243" s="18" t="str">
        <f aca="false">IF(H243&lt;=0,"",IF(COUNTIFS(I$5:I242,I243,H$5:H242,"&gt;0")=0,IFERROR(MATCH(E243,Lists!$A$2:$A$8,0),7)*10000+ROW(),""))</f>
        <v/>
      </c>
    </row>
    <row r="244" customFormat="false" ht="15" hidden="false" customHeight="false" outlineLevel="0" collapsed="false">
      <c r="A244" s="10"/>
      <c r="B244" s="10"/>
      <c r="C244" s="17"/>
      <c r="D244" s="10"/>
      <c r="E244" s="10"/>
      <c r="F244" s="18" t="n">
        <f aca="false">IF(A244="",0,COUNTIF(Week!$B$6:$E$12,A244))</f>
        <v>0</v>
      </c>
      <c r="G244" s="19" t="n">
        <f aca="false">IF(A244="",1,IFERROR(IF(N(INDEX(Meals!$B$6:$B$65,MATCH(A244,Meals!$A$6:$A$65,0)))&gt;0,Week!$B$3/INDEX(Meals!$B$6:$B$65,MATCH(A244,Meals!$A$6:$A$65,0)),1),1))</f>
        <v>1</v>
      </c>
      <c r="H244" s="19" t="n">
        <f aca="false">IF(OR(B244="",F244=0),0,N(C244)*F244*G244)</f>
        <v>0</v>
      </c>
      <c r="I244" s="20" t="str">
        <f aca="false">IF(B244="","",LOWER(TRIM(B244))&amp;" | "&amp;LOWER(TRIM(D244)))</f>
        <v/>
      </c>
      <c r="J244" s="18" t="str">
        <f aca="false">IF(H244&lt;=0,"",IF(COUNTIFS(I$5:I243,I244,H$5:H243,"&gt;0")=0,IFERROR(MATCH(E244,Lists!$A$2:$A$8,0),7)*10000+ROW(),""))</f>
        <v/>
      </c>
    </row>
    <row r="245" customFormat="false" ht="15" hidden="false" customHeight="false" outlineLevel="0" collapsed="false">
      <c r="A245" s="10"/>
      <c r="B245" s="10"/>
      <c r="C245" s="17"/>
      <c r="D245" s="10"/>
      <c r="E245" s="10"/>
      <c r="F245" s="18" t="n">
        <f aca="false">IF(A245="",0,COUNTIF(Week!$B$6:$E$12,A245))</f>
        <v>0</v>
      </c>
      <c r="G245" s="19" t="n">
        <f aca="false">IF(A245="",1,IFERROR(IF(N(INDEX(Meals!$B$6:$B$65,MATCH(A245,Meals!$A$6:$A$65,0)))&gt;0,Week!$B$3/INDEX(Meals!$B$6:$B$65,MATCH(A245,Meals!$A$6:$A$65,0)),1),1))</f>
        <v>1</v>
      </c>
      <c r="H245" s="19" t="n">
        <f aca="false">IF(OR(B245="",F245=0),0,N(C245)*F245*G245)</f>
        <v>0</v>
      </c>
      <c r="I245" s="20" t="str">
        <f aca="false">IF(B245="","",LOWER(TRIM(B245))&amp;" | "&amp;LOWER(TRIM(D245)))</f>
        <v/>
      </c>
      <c r="J245" s="18" t="str">
        <f aca="false">IF(H245&lt;=0,"",IF(COUNTIFS(I$5:I244,I245,H$5:H244,"&gt;0")=0,IFERROR(MATCH(E245,Lists!$A$2:$A$8,0),7)*10000+ROW(),""))</f>
        <v/>
      </c>
    </row>
    <row r="246" customFormat="false" ht="15" hidden="false" customHeight="false" outlineLevel="0" collapsed="false">
      <c r="A246" s="10"/>
      <c r="B246" s="10"/>
      <c r="C246" s="17"/>
      <c r="D246" s="10"/>
      <c r="E246" s="10"/>
      <c r="F246" s="18" t="n">
        <f aca="false">IF(A246="",0,COUNTIF(Week!$B$6:$E$12,A246))</f>
        <v>0</v>
      </c>
      <c r="G246" s="19" t="n">
        <f aca="false">IF(A246="",1,IFERROR(IF(N(INDEX(Meals!$B$6:$B$65,MATCH(A246,Meals!$A$6:$A$65,0)))&gt;0,Week!$B$3/INDEX(Meals!$B$6:$B$65,MATCH(A246,Meals!$A$6:$A$65,0)),1),1))</f>
        <v>1</v>
      </c>
      <c r="H246" s="19" t="n">
        <f aca="false">IF(OR(B246="",F246=0),0,N(C246)*F246*G246)</f>
        <v>0</v>
      </c>
      <c r="I246" s="20" t="str">
        <f aca="false">IF(B246="","",LOWER(TRIM(B246))&amp;" | "&amp;LOWER(TRIM(D246)))</f>
        <v/>
      </c>
      <c r="J246" s="18" t="str">
        <f aca="false">IF(H246&lt;=0,"",IF(COUNTIFS(I$5:I245,I246,H$5:H245,"&gt;0")=0,IFERROR(MATCH(E246,Lists!$A$2:$A$8,0),7)*10000+ROW(),""))</f>
        <v/>
      </c>
    </row>
    <row r="247" customFormat="false" ht="15" hidden="false" customHeight="false" outlineLevel="0" collapsed="false">
      <c r="A247" s="10"/>
      <c r="B247" s="10"/>
      <c r="C247" s="17"/>
      <c r="D247" s="10"/>
      <c r="E247" s="10"/>
      <c r="F247" s="18" t="n">
        <f aca="false">IF(A247="",0,COUNTIF(Week!$B$6:$E$12,A247))</f>
        <v>0</v>
      </c>
      <c r="G247" s="19" t="n">
        <f aca="false">IF(A247="",1,IFERROR(IF(N(INDEX(Meals!$B$6:$B$65,MATCH(A247,Meals!$A$6:$A$65,0)))&gt;0,Week!$B$3/INDEX(Meals!$B$6:$B$65,MATCH(A247,Meals!$A$6:$A$65,0)),1),1))</f>
        <v>1</v>
      </c>
      <c r="H247" s="19" t="n">
        <f aca="false">IF(OR(B247="",F247=0),0,N(C247)*F247*G247)</f>
        <v>0</v>
      </c>
      <c r="I247" s="20" t="str">
        <f aca="false">IF(B247="","",LOWER(TRIM(B247))&amp;" | "&amp;LOWER(TRIM(D247)))</f>
        <v/>
      </c>
      <c r="J247" s="18" t="str">
        <f aca="false">IF(H247&lt;=0,"",IF(COUNTIFS(I$5:I246,I247,H$5:H246,"&gt;0")=0,IFERROR(MATCH(E247,Lists!$A$2:$A$8,0),7)*10000+ROW(),""))</f>
        <v/>
      </c>
    </row>
    <row r="248" customFormat="false" ht="15" hidden="false" customHeight="false" outlineLevel="0" collapsed="false">
      <c r="A248" s="10"/>
      <c r="B248" s="10"/>
      <c r="C248" s="17"/>
      <c r="D248" s="10"/>
      <c r="E248" s="10"/>
      <c r="F248" s="18" t="n">
        <f aca="false">IF(A248="",0,COUNTIF(Week!$B$6:$E$12,A248))</f>
        <v>0</v>
      </c>
      <c r="G248" s="19" t="n">
        <f aca="false">IF(A248="",1,IFERROR(IF(N(INDEX(Meals!$B$6:$B$65,MATCH(A248,Meals!$A$6:$A$65,0)))&gt;0,Week!$B$3/INDEX(Meals!$B$6:$B$65,MATCH(A248,Meals!$A$6:$A$65,0)),1),1))</f>
        <v>1</v>
      </c>
      <c r="H248" s="19" t="n">
        <f aca="false">IF(OR(B248="",F248=0),0,N(C248)*F248*G248)</f>
        <v>0</v>
      </c>
      <c r="I248" s="20" t="str">
        <f aca="false">IF(B248="","",LOWER(TRIM(B248))&amp;" | "&amp;LOWER(TRIM(D248)))</f>
        <v/>
      </c>
      <c r="J248" s="18" t="str">
        <f aca="false">IF(H248&lt;=0,"",IF(COUNTIFS(I$5:I247,I248,H$5:H247,"&gt;0")=0,IFERROR(MATCH(E248,Lists!$A$2:$A$8,0),7)*10000+ROW(),""))</f>
        <v/>
      </c>
    </row>
    <row r="249" customFormat="false" ht="15" hidden="false" customHeight="false" outlineLevel="0" collapsed="false">
      <c r="A249" s="10"/>
      <c r="B249" s="10"/>
      <c r="C249" s="17"/>
      <c r="D249" s="10"/>
      <c r="E249" s="10"/>
      <c r="F249" s="18" t="n">
        <f aca="false">IF(A249="",0,COUNTIF(Week!$B$6:$E$12,A249))</f>
        <v>0</v>
      </c>
      <c r="G249" s="19" t="n">
        <f aca="false">IF(A249="",1,IFERROR(IF(N(INDEX(Meals!$B$6:$B$65,MATCH(A249,Meals!$A$6:$A$65,0)))&gt;0,Week!$B$3/INDEX(Meals!$B$6:$B$65,MATCH(A249,Meals!$A$6:$A$65,0)),1),1))</f>
        <v>1</v>
      </c>
      <c r="H249" s="19" t="n">
        <f aca="false">IF(OR(B249="",F249=0),0,N(C249)*F249*G249)</f>
        <v>0</v>
      </c>
      <c r="I249" s="20" t="str">
        <f aca="false">IF(B249="","",LOWER(TRIM(B249))&amp;" | "&amp;LOWER(TRIM(D249)))</f>
        <v/>
      </c>
      <c r="J249" s="18" t="str">
        <f aca="false">IF(H249&lt;=0,"",IF(COUNTIFS(I$5:I248,I249,H$5:H248,"&gt;0")=0,IFERROR(MATCH(E249,Lists!$A$2:$A$8,0),7)*10000+ROW(),""))</f>
        <v/>
      </c>
    </row>
    <row r="250" customFormat="false" ht="15" hidden="false" customHeight="false" outlineLevel="0" collapsed="false">
      <c r="A250" s="10"/>
      <c r="B250" s="10"/>
      <c r="C250" s="17"/>
      <c r="D250" s="10"/>
      <c r="E250" s="10"/>
      <c r="F250" s="18" t="n">
        <f aca="false">IF(A250="",0,COUNTIF(Week!$B$6:$E$12,A250))</f>
        <v>0</v>
      </c>
      <c r="G250" s="19" t="n">
        <f aca="false">IF(A250="",1,IFERROR(IF(N(INDEX(Meals!$B$6:$B$65,MATCH(A250,Meals!$A$6:$A$65,0)))&gt;0,Week!$B$3/INDEX(Meals!$B$6:$B$65,MATCH(A250,Meals!$A$6:$A$65,0)),1),1))</f>
        <v>1</v>
      </c>
      <c r="H250" s="19" t="n">
        <f aca="false">IF(OR(B250="",F250=0),0,N(C250)*F250*G250)</f>
        <v>0</v>
      </c>
      <c r="I250" s="20" t="str">
        <f aca="false">IF(B250="","",LOWER(TRIM(B250))&amp;" | "&amp;LOWER(TRIM(D250)))</f>
        <v/>
      </c>
      <c r="J250" s="18" t="str">
        <f aca="false">IF(H250&lt;=0,"",IF(COUNTIFS(I$5:I249,I250,H$5:H249,"&gt;0")=0,IFERROR(MATCH(E250,Lists!$A$2:$A$8,0),7)*10000+ROW(),""))</f>
        <v/>
      </c>
    </row>
    <row r="251" customFormat="false" ht="15" hidden="false" customHeight="false" outlineLevel="0" collapsed="false">
      <c r="A251" s="10"/>
      <c r="B251" s="10"/>
      <c r="C251" s="17"/>
      <c r="D251" s="10"/>
      <c r="E251" s="10"/>
      <c r="F251" s="18" t="n">
        <f aca="false">IF(A251="",0,COUNTIF(Week!$B$6:$E$12,A251))</f>
        <v>0</v>
      </c>
      <c r="G251" s="19" t="n">
        <f aca="false">IF(A251="",1,IFERROR(IF(N(INDEX(Meals!$B$6:$B$65,MATCH(A251,Meals!$A$6:$A$65,0)))&gt;0,Week!$B$3/INDEX(Meals!$B$6:$B$65,MATCH(A251,Meals!$A$6:$A$65,0)),1),1))</f>
        <v>1</v>
      </c>
      <c r="H251" s="19" t="n">
        <f aca="false">IF(OR(B251="",F251=0),0,N(C251)*F251*G251)</f>
        <v>0</v>
      </c>
      <c r="I251" s="20" t="str">
        <f aca="false">IF(B251="","",LOWER(TRIM(B251))&amp;" | "&amp;LOWER(TRIM(D251)))</f>
        <v/>
      </c>
      <c r="J251" s="18" t="str">
        <f aca="false">IF(H251&lt;=0,"",IF(COUNTIFS(I$5:I250,I251,H$5:H250,"&gt;0")=0,IFERROR(MATCH(E251,Lists!$A$2:$A$8,0),7)*10000+ROW(),""))</f>
        <v/>
      </c>
    </row>
    <row r="252" customFormat="false" ht="15" hidden="false" customHeight="false" outlineLevel="0" collapsed="false">
      <c r="A252" s="10"/>
      <c r="B252" s="10"/>
      <c r="C252" s="17"/>
      <c r="D252" s="10"/>
      <c r="E252" s="10"/>
      <c r="F252" s="18" t="n">
        <f aca="false">IF(A252="",0,COUNTIF(Week!$B$6:$E$12,A252))</f>
        <v>0</v>
      </c>
      <c r="G252" s="19" t="n">
        <f aca="false">IF(A252="",1,IFERROR(IF(N(INDEX(Meals!$B$6:$B$65,MATCH(A252,Meals!$A$6:$A$65,0)))&gt;0,Week!$B$3/INDEX(Meals!$B$6:$B$65,MATCH(A252,Meals!$A$6:$A$65,0)),1),1))</f>
        <v>1</v>
      </c>
      <c r="H252" s="19" t="n">
        <f aca="false">IF(OR(B252="",F252=0),0,N(C252)*F252*G252)</f>
        <v>0</v>
      </c>
      <c r="I252" s="20" t="str">
        <f aca="false">IF(B252="","",LOWER(TRIM(B252))&amp;" | "&amp;LOWER(TRIM(D252)))</f>
        <v/>
      </c>
      <c r="J252" s="18" t="str">
        <f aca="false">IF(H252&lt;=0,"",IF(COUNTIFS(I$5:I251,I252,H$5:H251,"&gt;0")=0,IFERROR(MATCH(E252,Lists!$A$2:$A$8,0),7)*10000+ROW(),""))</f>
        <v/>
      </c>
    </row>
    <row r="253" customFormat="false" ht="15" hidden="false" customHeight="false" outlineLevel="0" collapsed="false">
      <c r="A253" s="10"/>
      <c r="B253" s="10"/>
      <c r="C253" s="17"/>
      <c r="D253" s="10"/>
      <c r="E253" s="10"/>
      <c r="F253" s="18" t="n">
        <f aca="false">IF(A253="",0,COUNTIF(Week!$B$6:$E$12,A253))</f>
        <v>0</v>
      </c>
      <c r="G253" s="19" t="n">
        <f aca="false">IF(A253="",1,IFERROR(IF(N(INDEX(Meals!$B$6:$B$65,MATCH(A253,Meals!$A$6:$A$65,0)))&gt;0,Week!$B$3/INDEX(Meals!$B$6:$B$65,MATCH(A253,Meals!$A$6:$A$65,0)),1),1))</f>
        <v>1</v>
      </c>
      <c r="H253" s="19" t="n">
        <f aca="false">IF(OR(B253="",F253=0),0,N(C253)*F253*G253)</f>
        <v>0</v>
      </c>
      <c r="I253" s="20" t="str">
        <f aca="false">IF(B253="","",LOWER(TRIM(B253))&amp;" | "&amp;LOWER(TRIM(D253)))</f>
        <v/>
      </c>
      <c r="J253" s="18" t="str">
        <f aca="false">IF(H253&lt;=0,"",IF(COUNTIFS(I$5:I252,I253,H$5:H252,"&gt;0")=0,IFERROR(MATCH(E253,Lists!$A$2:$A$8,0),7)*10000+ROW(),""))</f>
        <v/>
      </c>
    </row>
    <row r="254" customFormat="false" ht="15" hidden="false" customHeight="false" outlineLevel="0" collapsed="false">
      <c r="A254" s="10"/>
      <c r="B254" s="10"/>
      <c r="C254" s="17"/>
      <c r="D254" s="10"/>
      <c r="E254" s="10"/>
      <c r="F254" s="18" t="n">
        <f aca="false">IF(A254="",0,COUNTIF(Week!$B$6:$E$12,A254))</f>
        <v>0</v>
      </c>
      <c r="G254" s="19" t="n">
        <f aca="false">IF(A254="",1,IFERROR(IF(N(INDEX(Meals!$B$6:$B$65,MATCH(A254,Meals!$A$6:$A$65,0)))&gt;0,Week!$B$3/INDEX(Meals!$B$6:$B$65,MATCH(A254,Meals!$A$6:$A$65,0)),1),1))</f>
        <v>1</v>
      </c>
      <c r="H254" s="19" t="n">
        <f aca="false">IF(OR(B254="",F254=0),0,N(C254)*F254*G254)</f>
        <v>0</v>
      </c>
      <c r="I254" s="20" t="str">
        <f aca="false">IF(B254="","",LOWER(TRIM(B254))&amp;" | "&amp;LOWER(TRIM(D254)))</f>
        <v/>
      </c>
      <c r="J254" s="18" t="str">
        <f aca="false">IF(H254&lt;=0,"",IF(COUNTIFS(I$5:I253,I254,H$5:H253,"&gt;0")=0,IFERROR(MATCH(E254,Lists!$A$2:$A$8,0),7)*10000+ROW(),""))</f>
        <v/>
      </c>
    </row>
    <row r="255" customFormat="false" ht="15" hidden="false" customHeight="false" outlineLevel="0" collapsed="false">
      <c r="A255" s="10"/>
      <c r="B255" s="10"/>
      <c r="C255" s="17"/>
      <c r="D255" s="10"/>
      <c r="E255" s="10"/>
      <c r="F255" s="18" t="n">
        <f aca="false">IF(A255="",0,COUNTIF(Week!$B$6:$E$12,A255))</f>
        <v>0</v>
      </c>
      <c r="G255" s="19" t="n">
        <f aca="false">IF(A255="",1,IFERROR(IF(N(INDEX(Meals!$B$6:$B$65,MATCH(A255,Meals!$A$6:$A$65,0)))&gt;0,Week!$B$3/INDEX(Meals!$B$6:$B$65,MATCH(A255,Meals!$A$6:$A$65,0)),1),1))</f>
        <v>1</v>
      </c>
      <c r="H255" s="19" t="n">
        <f aca="false">IF(OR(B255="",F255=0),0,N(C255)*F255*G255)</f>
        <v>0</v>
      </c>
      <c r="I255" s="20" t="str">
        <f aca="false">IF(B255="","",LOWER(TRIM(B255))&amp;" | "&amp;LOWER(TRIM(D255)))</f>
        <v/>
      </c>
      <c r="J255" s="18" t="str">
        <f aca="false">IF(H255&lt;=0,"",IF(COUNTIFS(I$5:I254,I255,H$5:H254,"&gt;0")=0,IFERROR(MATCH(E255,Lists!$A$2:$A$8,0),7)*10000+ROW(),""))</f>
        <v/>
      </c>
    </row>
    <row r="256" customFormat="false" ht="15" hidden="false" customHeight="false" outlineLevel="0" collapsed="false">
      <c r="A256" s="10"/>
      <c r="B256" s="10"/>
      <c r="C256" s="17"/>
      <c r="D256" s="10"/>
      <c r="E256" s="10"/>
      <c r="F256" s="18" t="n">
        <f aca="false">IF(A256="",0,COUNTIF(Week!$B$6:$E$12,A256))</f>
        <v>0</v>
      </c>
      <c r="G256" s="19" t="n">
        <f aca="false">IF(A256="",1,IFERROR(IF(N(INDEX(Meals!$B$6:$B$65,MATCH(A256,Meals!$A$6:$A$65,0)))&gt;0,Week!$B$3/INDEX(Meals!$B$6:$B$65,MATCH(A256,Meals!$A$6:$A$65,0)),1),1))</f>
        <v>1</v>
      </c>
      <c r="H256" s="19" t="n">
        <f aca="false">IF(OR(B256="",F256=0),0,N(C256)*F256*G256)</f>
        <v>0</v>
      </c>
      <c r="I256" s="20" t="str">
        <f aca="false">IF(B256="","",LOWER(TRIM(B256))&amp;" | "&amp;LOWER(TRIM(D256)))</f>
        <v/>
      </c>
      <c r="J256" s="18" t="str">
        <f aca="false">IF(H256&lt;=0,"",IF(COUNTIFS(I$5:I255,I256,H$5:H255,"&gt;0")=0,IFERROR(MATCH(E256,Lists!$A$2:$A$8,0),7)*10000+ROW(),""))</f>
        <v/>
      </c>
    </row>
    <row r="257" customFormat="false" ht="15" hidden="false" customHeight="false" outlineLevel="0" collapsed="false">
      <c r="A257" s="10"/>
      <c r="B257" s="10"/>
      <c r="C257" s="17"/>
      <c r="D257" s="10"/>
      <c r="E257" s="10"/>
      <c r="F257" s="18" t="n">
        <f aca="false">IF(A257="",0,COUNTIF(Week!$B$6:$E$12,A257))</f>
        <v>0</v>
      </c>
      <c r="G257" s="19" t="n">
        <f aca="false">IF(A257="",1,IFERROR(IF(N(INDEX(Meals!$B$6:$B$65,MATCH(A257,Meals!$A$6:$A$65,0)))&gt;0,Week!$B$3/INDEX(Meals!$B$6:$B$65,MATCH(A257,Meals!$A$6:$A$65,0)),1),1))</f>
        <v>1</v>
      </c>
      <c r="H257" s="19" t="n">
        <f aca="false">IF(OR(B257="",F257=0),0,N(C257)*F257*G257)</f>
        <v>0</v>
      </c>
      <c r="I257" s="20" t="str">
        <f aca="false">IF(B257="","",LOWER(TRIM(B257))&amp;" | "&amp;LOWER(TRIM(D257)))</f>
        <v/>
      </c>
      <c r="J257" s="18" t="str">
        <f aca="false">IF(H257&lt;=0,"",IF(COUNTIFS(I$5:I256,I257,H$5:H256,"&gt;0")=0,IFERROR(MATCH(E257,Lists!$A$2:$A$8,0),7)*10000+ROW(),""))</f>
        <v/>
      </c>
    </row>
    <row r="258" customFormat="false" ht="15" hidden="false" customHeight="false" outlineLevel="0" collapsed="false">
      <c r="A258" s="10"/>
      <c r="B258" s="10"/>
      <c r="C258" s="17"/>
      <c r="D258" s="10"/>
      <c r="E258" s="10"/>
      <c r="F258" s="18" t="n">
        <f aca="false">IF(A258="",0,COUNTIF(Week!$B$6:$E$12,A258))</f>
        <v>0</v>
      </c>
      <c r="G258" s="19" t="n">
        <f aca="false">IF(A258="",1,IFERROR(IF(N(INDEX(Meals!$B$6:$B$65,MATCH(A258,Meals!$A$6:$A$65,0)))&gt;0,Week!$B$3/INDEX(Meals!$B$6:$B$65,MATCH(A258,Meals!$A$6:$A$65,0)),1),1))</f>
        <v>1</v>
      </c>
      <c r="H258" s="19" t="n">
        <f aca="false">IF(OR(B258="",F258=0),0,N(C258)*F258*G258)</f>
        <v>0</v>
      </c>
      <c r="I258" s="20" t="str">
        <f aca="false">IF(B258="","",LOWER(TRIM(B258))&amp;" | "&amp;LOWER(TRIM(D258)))</f>
        <v/>
      </c>
      <c r="J258" s="18" t="str">
        <f aca="false">IF(H258&lt;=0,"",IF(COUNTIFS(I$5:I257,I258,H$5:H257,"&gt;0")=0,IFERROR(MATCH(E258,Lists!$A$2:$A$8,0),7)*10000+ROW(),""))</f>
        <v/>
      </c>
    </row>
    <row r="259" customFormat="false" ht="15" hidden="false" customHeight="false" outlineLevel="0" collapsed="false">
      <c r="A259" s="10"/>
      <c r="B259" s="10"/>
      <c r="C259" s="17"/>
      <c r="D259" s="10"/>
      <c r="E259" s="10"/>
      <c r="F259" s="18" t="n">
        <f aca="false">IF(A259="",0,COUNTIF(Week!$B$6:$E$12,A259))</f>
        <v>0</v>
      </c>
      <c r="G259" s="19" t="n">
        <f aca="false">IF(A259="",1,IFERROR(IF(N(INDEX(Meals!$B$6:$B$65,MATCH(A259,Meals!$A$6:$A$65,0)))&gt;0,Week!$B$3/INDEX(Meals!$B$6:$B$65,MATCH(A259,Meals!$A$6:$A$65,0)),1),1))</f>
        <v>1</v>
      </c>
      <c r="H259" s="19" t="n">
        <f aca="false">IF(OR(B259="",F259=0),0,N(C259)*F259*G259)</f>
        <v>0</v>
      </c>
      <c r="I259" s="20" t="str">
        <f aca="false">IF(B259="","",LOWER(TRIM(B259))&amp;" | "&amp;LOWER(TRIM(D259)))</f>
        <v/>
      </c>
      <c r="J259" s="18" t="str">
        <f aca="false">IF(H259&lt;=0,"",IF(COUNTIFS(I$5:I258,I259,H$5:H258,"&gt;0")=0,IFERROR(MATCH(E259,Lists!$A$2:$A$8,0),7)*10000+ROW(),""))</f>
        <v/>
      </c>
    </row>
    <row r="260" customFormat="false" ht="15" hidden="false" customHeight="false" outlineLevel="0" collapsed="false">
      <c r="A260" s="10"/>
      <c r="B260" s="10"/>
      <c r="C260" s="17"/>
      <c r="D260" s="10"/>
      <c r="E260" s="10"/>
      <c r="F260" s="18" t="n">
        <f aca="false">IF(A260="",0,COUNTIF(Week!$B$6:$E$12,A260))</f>
        <v>0</v>
      </c>
      <c r="G260" s="19" t="n">
        <f aca="false">IF(A260="",1,IFERROR(IF(N(INDEX(Meals!$B$6:$B$65,MATCH(A260,Meals!$A$6:$A$65,0)))&gt;0,Week!$B$3/INDEX(Meals!$B$6:$B$65,MATCH(A260,Meals!$A$6:$A$65,0)),1),1))</f>
        <v>1</v>
      </c>
      <c r="H260" s="19" t="n">
        <f aca="false">IF(OR(B260="",F260=0),0,N(C260)*F260*G260)</f>
        <v>0</v>
      </c>
      <c r="I260" s="20" t="str">
        <f aca="false">IF(B260="","",LOWER(TRIM(B260))&amp;" | "&amp;LOWER(TRIM(D260)))</f>
        <v/>
      </c>
      <c r="J260" s="18" t="str">
        <f aca="false">IF(H260&lt;=0,"",IF(COUNTIFS(I$5:I259,I260,H$5:H259,"&gt;0")=0,IFERROR(MATCH(E260,Lists!$A$2:$A$8,0),7)*10000+ROW(),""))</f>
        <v/>
      </c>
    </row>
    <row r="261" customFormat="false" ht="15" hidden="false" customHeight="false" outlineLevel="0" collapsed="false">
      <c r="A261" s="10"/>
      <c r="B261" s="10"/>
      <c r="C261" s="17"/>
      <c r="D261" s="10"/>
      <c r="E261" s="10"/>
      <c r="F261" s="18" t="n">
        <f aca="false">IF(A261="",0,COUNTIF(Week!$B$6:$E$12,A261))</f>
        <v>0</v>
      </c>
      <c r="G261" s="19" t="n">
        <f aca="false">IF(A261="",1,IFERROR(IF(N(INDEX(Meals!$B$6:$B$65,MATCH(A261,Meals!$A$6:$A$65,0)))&gt;0,Week!$B$3/INDEX(Meals!$B$6:$B$65,MATCH(A261,Meals!$A$6:$A$65,0)),1),1))</f>
        <v>1</v>
      </c>
      <c r="H261" s="19" t="n">
        <f aca="false">IF(OR(B261="",F261=0),0,N(C261)*F261*G261)</f>
        <v>0</v>
      </c>
      <c r="I261" s="20" t="str">
        <f aca="false">IF(B261="","",LOWER(TRIM(B261))&amp;" | "&amp;LOWER(TRIM(D261)))</f>
        <v/>
      </c>
      <c r="J261" s="18" t="str">
        <f aca="false">IF(H261&lt;=0,"",IF(COUNTIFS(I$5:I260,I261,H$5:H260,"&gt;0")=0,IFERROR(MATCH(E261,Lists!$A$2:$A$8,0),7)*10000+ROW(),""))</f>
        <v/>
      </c>
    </row>
    <row r="262" customFormat="false" ht="15" hidden="false" customHeight="false" outlineLevel="0" collapsed="false">
      <c r="A262" s="10"/>
      <c r="B262" s="10"/>
      <c r="C262" s="17"/>
      <c r="D262" s="10"/>
      <c r="E262" s="10"/>
      <c r="F262" s="18" t="n">
        <f aca="false">IF(A262="",0,COUNTIF(Week!$B$6:$E$12,A262))</f>
        <v>0</v>
      </c>
      <c r="G262" s="19" t="n">
        <f aca="false">IF(A262="",1,IFERROR(IF(N(INDEX(Meals!$B$6:$B$65,MATCH(A262,Meals!$A$6:$A$65,0)))&gt;0,Week!$B$3/INDEX(Meals!$B$6:$B$65,MATCH(A262,Meals!$A$6:$A$65,0)),1),1))</f>
        <v>1</v>
      </c>
      <c r="H262" s="19" t="n">
        <f aca="false">IF(OR(B262="",F262=0),0,N(C262)*F262*G262)</f>
        <v>0</v>
      </c>
      <c r="I262" s="20" t="str">
        <f aca="false">IF(B262="","",LOWER(TRIM(B262))&amp;" | "&amp;LOWER(TRIM(D262)))</f>
        <v/>
      </c>
      <c r="J262" s="18" t="str">
        <f aca="false">IF(H262&lt;=0,"",IF(COUNTIFS(I$5:I261,I262,H$5:H261,"&gt;0")=0,IFERROR(MATCH(E262,Lists!$A$2:$A$8,0),7)*10000+ROW(),""))</f>
        <v/>
      </c>
    </row>
    <row r="263" customFormat="false" ht="15" hidden="false" customHeight="false" outlineLevel="0" collapsed="false">
      <c r="A263" s="10"/>
      <c r="B263" s="10"/>
      <c r="C263" s="17"/>
      <c r="D263" s="10"/>
      <c r="E263" s="10"/>
      <c r="F263" s="18" t="n">
        <f aca="false">IF(A263="",0,COUNTIF(Week!$B$6:$E$12,A263))</f>
        <v>0</v>
      </c>
      <c r="G263" s="19" t="n">
        <f aca="false">IF(A263="",1,IFERROR(IF(N(INDEX(Meals!$B$6:$B$65,MATCH(A263,Meals!$A$6:$A$65,0)))&gt;0,Week!$B$3/INDEX(Meals!$B$6:$B$65,MATCH(A263,Meals!$A$6:$A$65,0)),1),1))</f>
        <v>1</v>
      </c>
      <c r="H263" s="19" t="n">
        <f aca="false">IF(OR(B263="",F263=0),0,N(C263)*F263*G263)</f>
        <v>0</v>
      </c>
      <c r="I263" s="20" t="str">
        <f aca="false">IF(B263="","",LOWER(TRIM(B263))&amp;" | "&amp;LOWER(TRIM(D263)))</f>
        <v/>
      </c>
      <c r="J263" s="18" t="str">
        <f aca="false">IF(H263&lt;=0,"",IF(COUNTIFS(I$5:I262,I263,H$5:H262,"&gt;0")=0,IFERROR(MATCH(E263,Lists!$A$2:$A$8,0),7)*10000+ROW(),""))</f>
        <v/>
      </c>
    </row>
    <row r="264" customFormat="false" ht="15" hidden="false" customHeight="false" outlineLevel="0" collapsed="false">
      <c r="A264" s="10"/>
      <c r="B264" s="10"/>
      <c r="C264" s="17"/>
      <c r="D264" s="10"/>
      <c r="E264" s="10"/>
      <c r="F264" s="18" t="n">
        <f aca="false">IF(A264="",0,COUNTIF(Week!$B$6:$E$12,A264))</f>
        <v>0</v>
      </c>
      <c r="G264" s="19" t="n">
        <f aca="false">IF(A264="",1,IFERROR(IF(N(INDEX(Meals!$B$6:$B$65,MATCH(A264,Meals!$A$6:$A$65,0)))&gt;0,Week!$B$3/INDEX(Meals!$B$6:$B$65,MATCH(A264,Meals!$A$6:$A$65,0)),1),1))</f>
        <v>1</v>
      </c>
      <c r="H264" s="19" t="n">
        <f aca="false">IF(OR(B264="",F264=0),0,N(C264)*F264*G264)</f>
        <v>0</v>
      </c>
      <c r="I264" s="20" t="str">
        <f aca="false">IF(B264="","",LOWER(TRIM(B264))&amp;" | "&amp;LOWER(TRIM(D264)))</f>
        <v/>
      </c>
      <c r="J264" s="18" t="str">
        <f aca="false">IF(H264&lt;=0,"",IF(COUNTIFS(I$5:I263,I264,H$5:H263,"&gt;0")=0,IFERROR(MATCH(E264,Lists!$A$2:$A$8,0),7)*10000+ROW(),""))</f>
        <v/>
      </c>
    </row>
    <row r="265" customFormat="false" ht="15" hidden="false" customHeight="false" outlineLevel="0" collapsed="false">
      <c r="A265" s="10"/>
      <c r="B265" s="10"/>
      <c r="C265" s="17"/>
      <c r="D265" s="10"/>
      <c r="E265" s="10"/>
      <c r="F265" s="18" t="n">
        <f aca="false">IF(A265="",0,COUNTIF(Week!$B$6:$E$12,A265))</f>
        <v>0</v>
      </c>
      <c r="G265" s="19" t="n">
        <f aca="false">IF(A265="",1,IFERROR(IF(N(INDEX(Meals!$B$6:$B$65,MATCH(A265,Meals!$A$6:$A$65,0)))&gt;0,Week!$B$3/INDEX(Meals!$B$6:$B$65,MATCH(A265,Meals!$A$6:$A$65,0)),1),1))</f>
        <v>1</v>
      </c>
      <c r="H265" s="19" t="n">
        <f aca="false">IF(OR(B265="",F265=0),0,N(C265)*F265*G265)</f>
        <v>0</v>
      </c>
      <c r="I265" s="20" t="str">
        <f aca="false">IF(B265="","",LOWER(TRIM(B265))&amp;" | "&amp;LOWER(TRIM(D265)))</f>
        <v/>
      </c>
      <c r="J265" s="18" t="str">
        <f aca="false">IF(H265&lt;=0,"",IF(COUNTIFS(I$5:I264,I265,H$5:H264,"&gt;0")=0,IFERROR(MATCH(E265,Lists!$A$2:$A$8,0),7)*10000+ROW(),""))</f>
        <v/>
      </c>
    </row>
    <row r="266" customFormat="false" ht="15" hidden="false" customHeight="false" outlineLevel="0" collapsed="false">
      <c r="A266" s="10"/>
      <c r="B266" s="10"/>
      <c r="C266" s="17"/>
      <c r="D266" s="10"/>
      <c r="E266" s="10"/>
      <c r="F266" s="18" t="n">
        <f aca="false">IF(A266="",0,COUNTIF(Week!$B$6:$E$12,A266))</f>
        <v>0</v>
      </c>
      <c r="G266" s="19" t="n">
        <f aca="false">IF(A266="",1,IFERROR(IF(N(INDEX(Meals!$B$6:$B$65,MATCH(A266,Meals!$A$6:$A$65,0)))&gt;0,Week!$B$3/INDEX(Meals!$B$6:$B$65,MATCH(A266,Meals!$A$6:$A$65,0)),1),1))</f>
        <v>1</v>
      </c>
      <c r="H266" s="19" t="n">
        <f aca="false">IF(OR(B266="",F266=0),0,N(C266)*F266*G266)</f>
        <v>0</v>
      </c>
      <c r="I266" s="20" t="str">
        <f aca="false">IF(B266="","",LOWER(TRIM(B266))&amp;" | "&amp;LOWER(TRIM(D266)))</f>
        <v/>
      </c>
      <c r="J266" s="18" t="str">
        <f aca="false">IF(H266&lt;=0,"",IF(COUNTIFS(I$5:I265,I266,H$5:H265,"&gt;0")=0,IFERROR(MATCH(E266,Lists!$A$2:$A$8,0),7)*10000+ROW(),""))</f>
        <v/>
      </c>
    </row>
    <row r="267" customFormat="false" ht="15" hidden="false" customHeight="false" outlineLevel="0" collapsed="false">
      <c r="A267" s="10"/>
      <c r="B267" s="10"/>
      <c r="C267" s="17"/>
      <c r="D267" s="10"/>
      <c r="E267" s="10"/>
      <c r="F267" s="18" t="n">
        <f aca="false">IF(A267="",0,COUNTIF(Week!$B$6:$E$12,A267))</f>
        <v>0</v>
      </c>
      <c r="G267" s="19" t="n">
        <f aca="false">IF(A267="",1,IFERROR(IF(N(INDEX(Meals!$B$6:$B$65,MATCH(A267,Meals!$A$6:$A$65,0)))&gt;0,Week!$B$3/INDEX(Meals!$B$6:$B$65,MATCH(A267,Meals!$A$6:$A$65,0)),1),1))</f>
        <v>1</v>
      </c>
      <c r="H267" s="19" t="n">
        <f aca="false">IF(OR(B267="",F267=0),0,N(C267)*F267*G267)</f>
        <v>0</v>
      </c>
      <c r="I267" s="20" t="str">
        <f aca="false">IF(B267="","",LOWER(TRIM(B267))&amp;" | "&amp;LOWER(TRIM(D267)))</f>
        <v/>
      </c>
      <c r="J267" s="18" t="str">
        <f aca="false">IF(H267&lt;=0,"",IF(COUNTIFS(I$5:I266,I267,H$5:H266,"&gt;0")=0,IFERROR(MATCH(E267,Lists!$A$2:$A$8,0),7)*10000+ROW(),""))</f>
        <v/>
      </c>
    </row>
    <row r="268" customFormat="false" ht="15" hidden="false" customHeight="false" outlineLevel="0" collapsed="false">
      <c r="A268" s="10"/>
      <c r="B268" s="10"/>
      <c r="C268" s="17"/>
      <c r="D268" s="10"/>
      <c r="E268" s="10"/>
      <c r="F268" s="18" t="n">
        <f aca="false">IF(A268="",0,COUNTIF(Week!$B$6:$E$12,A268))</f>
        <v>0</v>
      </c>
      <c r="G268" s="19" t="n">
        <f aca="false">IF(A268="",1,IFERROR(IF(N(INDEX(Meals!$B$6:$B$65,MATCH(A268,Meals!$A$6:$A$65,0)))&gt;0,Week!$B$3/INDEX(Meals!$B$6:$B$65,MATCH(A268,Meals!$A$6:$A$65,0)),1),1))</f>
        <v>1</v>
      </c>
      <c r="H268" s="19" t="n">
        <f aca="false">IF(OR(B268="",F268=0),0,N(C268)*F268*G268)</f>
        <v>0</v>
      </c>
      <c r="I268" s="20" t="str">
        <f aca="false">IF(B268="","",LOWER(TRIM(B268))&amp;" | "&amp;LOWER(TRIM(D268)))</f>
        <v/>
      </c>
      <c r="J268" s="18" t="str">
        <f aca="false">IF(H268&lt;=0,"",IF(COUNTIFS(I$5:I267,I268,H$5:H267,"&gt;0")=0,IFERROR(MATCH(E268,Lists!$A$2:$A$8,0),7)*10000+ROW(),""))</f>
        <v/>
      </c>
    </row>
    <row r="269" customFormat="false" ht="15" hidden="false" customHeight="false" outlineLevel="0" collapsed="false">
      <c r="A269" s="10"/>
      <c r="B269" s="10"/>
      <c r="C269" s="17"/>
      <c r="D269" s="10"/>
      <c r="E269" s="10"/>
      <c r="F269" s="18" t="n">
        <f aca="false">IF(A269="",0,COUNTIF(Week!$B$6:$E$12,A269))</f>
        <v>0</v>
      </c>
      <c r="G269" s="19" t="n">
        <f aca="false">IF(A269="",1,IFERROR(IF(N(INDEX(Meals!$B$6:$B$65,MATCH(A269,Meals!$A$6:$A$65,0)))&gt;0,Week!$B$3/INDEX(Meals!$B$6:$B$65,MATCH(A269,Meals!$A$6:$A$65,0)),1),1))</f>
        <v>1</v>
      </c>
      <c r="H269" s="19" t="n">
        <f aca="false">IF(OR(B269="",F269=0),0,N(C269)*F269*G269)</f>
        <v>0</v>
      </c>
      <c r="I269" s="20" t="str">
        <f aca="false">IF(B269="","",LOWER(TRIM(B269))&amp;" | "&amp;LOWER(TRIM(D269)))</f>
        <v/>
      </c>
      <c r="J269" s="18" t="str">
        <f aca="false">IF(H269&lt;=0,"",IF(COUNTIFS(I$5:I268,I269,H$5:H268,"&gt;0")=0,IFERROR(MATCH(E269,Lists!$A$2:$A$8,0),7)*10000+ROW(),""))</f>
        <v/>
      </c>
    </row>
    <row r="270" customFormat="false" ht="15" hidden="false" customHeight="false" outlineLevel="0" collapsed="false">
      <c r="A270" s="10"/>
      <c r="B270" s="10"/>
      <c r="C270" s="17"/>
      <c r="D270" s="10"/>
      <c r="E270" s="10"/>
      <c r="F270" s="18" t="n">
        <f aca="false">IF(A270="",0,COUNTIF(Week!$B$6:$E$12,A270))</f>
        <v>0</v>
      </c>
      <c r="G270" s="19" t="n">
        <f aca="false">IF(A270="",1,IFERROR(IF(N(INDEX(Meals!$B$6:$B$65,MATCH(A270,Meals!$A$6:$A$65,0)))&gt;0,Week!$B$3/INDEX(Meals!$B$6:$B$65,MATCH(A270,Meals!$A$6:$A$65,0)),1),1))</f>
        <v>1</v>
      </c>
      <c r="H270" s="19" t="n">
        <f aca="false">IF(OR(B270="",F270=0),0,N(C270)*F270*G270)</f>
        <v>0</v>
      </c>
      <c r="I270" s="20" t="str">
        <f aca="false">IF(B270="","",LOWER(TRIM(B270))&amp;" | "&amp;LOWER(TRIM(D270)))</f>
        <v/>
      </c>
      <c r="J270" s="18" t="str">
        <f aca="false">IF(H270&lt;=0,"",IF(COUNTIFS(I$5:I269,I270,H$5:H269,"&gt;0")=0,IFERROR(MATCH(E270,Lists!$A$2:$A$8,0),7)*10000+ROW(),""))</f>
        <v/>
      </c>
    </row>
    <row r="271" customFormat="false" ht="15" hidden="false" customHeight="false" outlineLevel="0" collapsed="false">
      <c r="A271" s="10"/>
      <c r="B271" s="10"/>
      <c r="C271" s="17"/>
      <c r="D271" s="10"/>
      <c r="E271" s="10"/>
      <c r="F271" s="18" t="n">
        <f aca="false">IF(A271="",0,COUNTIF(Week!$B$6:$E$12,A271))</f>
        <v>0</v>
      </c>
      <c r="G271" s="19" t="n">
        <f aca="false">IF(A271="",1,IFERROR(IF(N(INDEX(Meals!$B$6:$B$65,MATCH(A271,Meals!$A$6:$A$65,0)))&gt;0,Week!$B$3/INDEX(Meals!$B$6:$B$65,MATCH(A271,Meals!$A$6:$A$65,0)),1),1))</f>
        <v>1</v>
      </c>
      <c r="H271" s="19" t="n">
        <f aca="false">IF(OR(B271="",F271=0),0,N(C271)*F271*G271)</f>
        <v>0</v>
      </c>
      <c r="I271" s="20" t="str">
        <f aca="false">IF(B271="","",LOWER(TRIM(B271))&amp;" | "&amp;LOWER(TRIM(D271)))</f>
        <v/>
      </c>
      <c r="J271" s="18" t="str">
        <f aca="false">IF(H271&lt;=0,"",IF(COUNTIFS(I$5:I270,I271,H$5:H270,"&gt;0")=0,IFERROR(MATCH(E271,Lists!$A$2:$A$8,0),7)*10000+ROW(),""))</f>
        <v/>
      </c>
    </row>
    <row r="272" customFormat="false" ht="15" hidden="false" customHeight="false" outlineLevel="0" collapsed="false">
      <c r="A272" s="10"/>
      <c r="B272" s="10"/>
      <c r="C272" s="17"/>
      <c r="D272" s="10"/>
      <c r="E272" s="10"/>
      <c r="F272" s="18" t="n">
        <f aca="false">IF(A272="",0,COUNTIF(Week!$B$6:$E$12,A272))</f>
        <v>0</v>
      </c>
      <c r="G272" s="19" t="n">
        <f aca="false">IF(A272="",1,IFERROR(IF(N(INDEX(Meals!$B$6:$B$65,MATCH(A272,Meals!$A$6:$A$65,0)))&gt;0,Week!$B$3/INDEX(Meals!$B$6:$B$65,MATCH(A272,Meals!$A$6:$A$65,0)),1),1))</f>
        <v>1</v>
      </c>
      <c r="H272" s="19" t="n">
        <f aca="false">IF(OR(B272="",F272=0),0,N(C272)*F272*G272)</f>
        <v>0</v>
      </c>
      <c r="I272" s="20" t="str">
        <f aca="false">IF(B272="","",LOWER(TRIM(B272))&amp;" | "&amp;LOWER(TRIM(D272)))</f>
        <v/>
      </c>
      <c r="J272" s="18" t="str">
        <f aca="false">IF(H272&lt;=0,"",IF(COUNTIFS(I$5:I271,I272,H$5:H271,"&gt;0")=0,IFERROR(MATCH(E272,Lists!$A$2:$A$8,0),7)*10000+ROW(),""))</f>
        <v/>
      </c>
    </row>
    <row r="273" customFormat="false" ht="15" hidden="false" customHeight="false" outlineLevel="0" collapsed="false">
      <c r="A273" s="10"/>
      <c r="B273" s="10"/>
      <c r="C273" s="17"/>
      <c r="D273" s="10"/>
      <c r="E273" s="10"/>
      <c r="F273" s="18" t="n">
        <f aca="false">IF(A273="",0,COUNTIF(Week!$B$6:$E$12,A273))</f>
        <v>0</v>
      </c>
      <c r="G273" s="19" t="n">
        <f aca="false">IF(A273="",1,IFERROR(IF(N(INDEX(Meals!$B$6:$B$65,MATCH(A273,Meals!$A$6:$A$65,0)))&gt;0,Week!$B$3/INDEX(Meals!$B$6:$B$65,MATCH(A273,Meals!$A$6:$A$65,0)),1),1))</f>
        <v>1</v>
      </c>
      <c r="H273" s="19" t="n">
        <f aca="false">IF(OR(B273="",F273=0),0,N(C273)*F273*G273)</f>
        <v>0</v>
      </c>
      <c r="I273" s="20" t="str">
        <f aca="false">IF(B273="","",LOWER(TRIM(B273))&amp;" | "&amp;LOWER(TRIM(D273)))</f>
        <v/>
      </c>
      <c r="J273" s="18" t="str">
        <f aca="false">IF(H273&lt;=0,"",IF(COUNTIFS(I$5:I272,I273,H$5:H272,"&gt;0")=0,IFERROR(MATCH(E273,Lists!$A$2:$A$8,0),7)*10000+ROW(),""))</f>
        <v/>
      </c>
    </row>
    <row r="274" customFormat="false" ht="15" hidden="false" customHeight="false" outlineLevel="0" collapsed="false">
      <c r="A274" s="10"/>
      <c r="B274" s="10"/>
      <c r="C274" s="17"/>
      <c r="D274" s="10"/>
      <c r="E274" s="10"/>
      <c r="F274" s="18" t="n">
        <f aca="false">IF(A274="",0,COUNTIF(Week!$B$6:$E$12,A274))</f>
        <v>0</v>
      </c>
      <c r="G274" s="19" t="n">
        <f aca="false">IF(A274="",1,IFERROR(IF(N(INDEX(Meals!$B$6:$B$65,MATCH(A274,Meals!$A$6:$A$65,0)))&gt;0,Week!$B$3/INDEX(Meals!$B$6:$B$65,MATCH(A274,Meals!$A$6:$A$65,0)),1),1))</f>
        <v>1</v>
      </c>
      <c r="H274" s="19" t="n">
        <f aca="false">IF(OR(B274="",F274=0),0,N(C274)*F274*G274)</f>
        <v>0</v>
      </c>
      <c r="I274" s="20" t="str">
        <f aca="false">IF(B274="","",LOWER(TRIM(B274))&amp;" | "&amp;LOWER(TRIM(D274)))</f>
        <v/>
      </c>
      <c r="J274" s="18" t="str">
        <f aca="false">IF(H274&lt;=0,"",IF(COUNTIFS(I$5:I273,I274,H$5:H273,"&gt;0")=0,IFERROR(MATCH(E274,Lists!$A$2:$A$8,0),7)*10000+ROW(),""))</f>
        <v/>
      </c>
    </row>
    <row r="275" customFormat="false" ht="15" hidden="false" customHeight="false" outlineLevel="0" collapsed="false">
      <c r="A275" s="10"/>
      <c r="B275" s="10"/>
      <c r="C275" s="17"/>
      <c r="D275" s="10"/>
      <c r="E275" s="10"/>
      <c r="F275" s="18" t="n">
        <f aca="false">IF(A275="",0,COUNTIF(Week!$B$6:$E$12,A275))</f>
        <v>0</v>
      </c>
      <c r="G275" s="19" t="n">
        <f aca="false">IF(A275="",1,IFERROR(IF(N(INDEX(Meals!$B$6:$B$65,MATCH(A275,Meals!$A$6:$A$65,0)))&gt;0,Week!$B$3/INDEX(Meals!$B$6:$B$65,MATCH(A275,Meals!$A$6:$A$65,0)),1),1))</f>
        <v>1</v>
      </c>
      <c r="H275" s="19" t="n">
        <f aca="false">IF(OR(B275="",F275=0),0,N(C275)*F275*G275)</f>
        <v>0</v>
      </c>
      <c r="I275" s="20" t="str">
        <f aca="false">IF(B275="","",LOWER(TRIM(B275))&amp;" | "&amp;LOWER(TRIM(D275)))</f>
        <v/>
      </c>
      <c r="J275" s="18" t="str">
        <f aca="false">IF(H275&lt;=0,"",IF(COUNTIFS(I$5:I274,I275,H$5:H274,"&gt;0")=0,IFERROR(MATCH(E275,Lists!$A$2:$A$8,0),7)*10000+ROW(),""))</f>
        <v/>
      </c>
    </row>
    <row r="276" customFormat="false" ht="15" hidden="false" customHeight="false" outlineLevel="0" collapsed="false">
      <c r="A276" s="10"/>
      <c r="B276" s="10"/>
      <c r="C276" s="17"/>
      <c r="D276" s="10"/>
      <c r="E276" s="10"/>
      <c r="F276" s="18" t="n">
        <f aca="false">IF(A276="",0,COUNTIF(Week!$B$6:$E$12,A276))</f>
        <v>0</v>
      </c>
      <c r="G276" s="19" t="n">
        <f aca="false">IF(A276="",1,IFERROR(IF(N(INDEX(Meals!$B$6:$B$65,MATCH(A276,Meals!$A$6:$A$65,0)))&gt;0,Week!$B$3/INDEX(Meals!$B$6:$B$65,MATCH(A276,Meals!$A$6:$A$65,0)),1),1))</f>
        <v>1</v>
      </c>
      <c r="H276" s="19" t="n">
        <f aca="false">IF(OR(B276="",F276=0),0,N(C276)*F276*G276)</f>
        <v>0</v>
      </c>
      <c r="I276" s="20" t="str">
        <f aca="false">IF(B276="","",LOWER(TRIM(B276))&amp;" | "&amp;LOWER(TRIM(D276)))</f>
        <v/>
      </c>
      <c r="J276" s="18" t="str">
        <f aca="false">IF(H276&lt;=0,"",IF(COUNTIFS(I$5:I275,I276,H$5:H275,"&gt;0")=0,IFERROR(MATCH(E276,Lists!$A$2:$A$8,0),7)*10000+ROW(),""))</f>
        <v/>
      </c>
    </row>
    <row r="277" customFormat="false" ht="15" hidden="false" customHeight="false" outlineLevel="0" collapsed="false">
      <c r="A277" s="10"/>
      <c r="B277" s="10"/>
      <c r="C277" s="17"/>
      <c r="D277" s="10"/>
      <c r="E277" s="10"/>
      <c r="F277" s="18" t="n">
        <f aca="false">IF(A277="",0,COUNTIF(Week!$B$6:$E$12,A277))</f>
        <v>0</v>
      </c>
      <c r="G277" s="19" t="n">
        <f aca="false">IF(A277="",1,IFERROR(IF(N(INDEX(Meals!$B$6:$B$65,MATCH(A277,Meals!$A$6:$A$65,0)))&gt;0,Week!$B$3/INDEX(Meals!$B$6:$B$65,MATCH(A277,Meals!$A$6:$A$65,0)),1),1))</f>
        <v>1</v>
      </c>
      <c r="H277" s="19" t="n">
        <f aca="false">IF(OR(B277="",F277=0),0,N(C277)*F277*G277)</f>
        <v>0</v>
      </c>
      <c r="I277" s="20" t="str">
        <f aca="false">IF(B277="","",LOWER(TRIM(B277))&amp;" | "&amp;LOWER(TRIM(D277)))</f>
        <v/>
      </c>
      <c r="J277" s="18" t="str">
        <f aca="false">IF(H277&lt;=0,"",IF(COUNTIFS(I$5:I276,I277,H$5:H276,"&gt;0")=0,IFERROR(MATCH(E277,Lists!$A$2:$A$8,0),7)*10000+ROW(),""))</f>
        <v/>
      </c>
    </row>
    <row r="278" customFormat="false" ht="15" hidden="false" customHeight="false" outlineLevel="0" collapsed="false">
      <c r="A278" s="10"/>
      <c r="B278" s="10"/>
      <c r="C278" s="17"/>
      <c r="D278" s="10"/>
      <c r="E278" s="10"/>
      <c r="F278" s="18" t="n">
        <f aca="false">IF(A278="",0,COUNTIF(Week!$B$6:$E$12,A278))</f>
        <v>0</v>
      </c>
      <c r="G278" s="19" t="n">
        <f aca="false">IF(A278="",1,IFERROR(IF(N(INDEX(Meals!$B$6:$B$65,MATCH(A278,Meals!$A$6:$A$65,0)))&gt;0,Week!$B$3/INDEX(Meals!$B$6:$B$65,MATCH(A278,Meals!$A$6:$A$65,0)),1),1))</f>
        <v>1</v>
      </c>
      <c r="H278" s="19" t="n">
        <f aca="false">IF(OR(B278="",F278=0),0,N(C278)*F278*G278)</f>
        <v>0</v>
      </c>
      <c r="I278" s="20" t="str">
        <f aca="false">IF(B278="","",LOWER(TRIM(B278))&amp;" | "&amp;LOWER(TRIM(D278)))</f>
        <v/>
      </c>
      <c r="J278" s="18" t="str">
        <f aca="false">IF(H278&lt;=0,"",IF(COUNTIFS(I$5:I277,I278,H$5:H277,"&gt;0")=0,IFERROR(MATCH(E278,Lists!$A$2:$A$8,0),7)*10000+ROW(),""))</f>
        <v/>
      </c>
    </row>
    <row r="279" customFormat="false" ht="15" hidden="false" customHeight="false" outlineLevel="0" collapsed="false">
      <c r="A279" s="10"/>
      <c r="B279" s="10"/>
      <c r="C279" s="17"/>
      <c r="D279" s="10"/>
      <c r="E279" s="10"/>
      <c r="F279" s="18" t="n">
        <f aca="false">IF(A279="",0,COUNTIF(Week!$B$6:$E$12,A279))</f>
        <v>0</v>
      </c>
      <c r="G279" s="19" t="n">
        <f aca="false">IF(A279="",1,IFERROR(IF(N(INDEX(Meals!$B$6:$B$65,MATCH(A279,Meals!$A$6:$A$65,0)))&gt;0,Week!$B$3/INDEX(Meals!$B$6:$B$65,MATCH(A279,Meals!$A$6:$A$65,0)),1),1))</f>
        <v>1</v>
      </c>
      <c r="H279" s="19" t="n">
        <f aca="false">IF(OR(B279="",F279=0),0,N(C279)*F279*G279)</f>
        <v>0</v>
      </c>
      <c r="I279" s="20" t="str">
        <f aca="false">IF(B279="","",LOWER(TRIM(B279))&amp;" | "&amp;LOWER(TRIM(D279)))</f>
        <v/>
      </c>
      <c r="J279" s="18" t="str">
        <f aca="false">IF(H279&lt;=0,"",IF(COUNTIFS(I$5:I278,I279,H$5:H278,"&gt;0")=0,IFERROR(MATCH(E279,Lists!$A$2:$A$8,0),7)*10000+ROW(),""))</f>
        <v/>
      </c>
    </row>
    <row r="280" customFormat="false" ht="15" hidden="false" customHeight="false" outlineLevel="0" collapsed="false">
      <c r="A280" s="10"/>
      <c r="B280" s="10"/>
      <c r="C280" s="17"/>
      <c r="D280" s="10"/>
      <c r="E280" s="10"/>
      <c r="F280" s="18" t="n">
        <f aca="false">IF(A280="",0,COUNTIF(Week!$B$6:$E$12,A280))</f>
        <v>0</v>
      </c>
      <c r="G280" s="19" t="n">
        <f aca="false">IF(A280="",1,IFERROR(IF(N(INDEX(Meals!$B$6:$B$65,MATCH(A280,Meals!$A$6:$A$65,0)))&gt;0,Week!$B$3/INDEX(Meals!$B$6:$B$65,MATCH(A280,Meals!$A$6:$A$65,0)),1),1))</f>
        <v>1</v>
      </c>
      <c r="H280" s="19" t="n">
        <f aca="false">IF(OR(B280="",F280=0),0,N(C280)*F280*G280)</f>
        <v>0</v>
      </c>
      <c r="I280" s="20" t="str">
        <f aca="false">IF(B280="","",LOWER(TRIM(B280))&amp;" | "&amp;LOWER(TRIM(D280)))</f>
        <v/>
      </c>
      <c r="J280" s="18" t="str">
        <f aca="false">IF(H280&lt;=0,"",IF(COUNTIFS(I$5:I279,I280,H$5:H279,"&gt;0")=0,IFERROR(MATCH(E280,Lists!$A$2:$A$8,0),7)*10000+ROW(),""))</f>
        <v/>
      </c>
    </row>
    <row r="281" customFormat="false" ht="15" hidden="false" customHeight="false" outlineLevel="0" collapsed="false">
      <c r="A281" s="10"/>
      <c r="B281" s="10"/>
      <c r="C281" s="17"/>
      <c r="D281" s="10"/>
      <c r="E281" s="10"/>
      <c r="F281" s="18" t="n">
        <f aca="false">IF(A281="",0,COUNTIF(Week!$B$6:$E$12,A281))</f>
        <v>0</v>
      </c>
      <c r="G281" s="19" t="n">
        <f aca="false">IF(A281="",1,IFERROR(IF(N(INDEX(Meals!$B$6:$B$65,MATCH(A281,Meals!$A$6:$A$65,0)))&gt;0,Week!$B$3/INDEX(Meals!$B$6:$B$65,MATCH(A281,Meals!$A$6:$A$65,0)),1),1))</f>
        <v>1</v>
      </c>
      <c r="H281" s="19" t="n">
        <f aca="false">IF(OR(B281="",F281=0),0,N(C281)*F281*G281)</f>
        <v>0</v>
      </c>
      <c r="I281" s="20" t="str">
        <f aca="false">IF(B281="","",LOWER(TRIM(B281))&amp;" | "&amp;LOWER(TRIM(D281)))</f>
        <v/>
      </c>
      <c r="J281" s="18" t="str">
        <f aca="false">IF(H281&lt;=0,"",IF(COUNTIFS(I$5:I280,I281,H$5:H280,"&gt;0")=0,IFERROR(MATCH(E281,Lists!$A$2:$A$8,0),7)*10000+ROW(),""))</f>
        <v/>
      </c>
    </row>
    <row r="282" customFormat="false" ht="15" hidden="false" customHeight="false" outlineLevel="0" collapsed="false">
      <c r="A282" s="10"/>
      <c r="B282" s="10"/>
      <c r="C282" s="17"/>
      <c r="D282" s="10"/>
      <c r="E282" s="10"/>
      <c r="F282" s="18" t="n">
        <f aca="false">IF(A282="",0,COUNTIF(Week!$B$6:$E$12,A282))</f>
        <v>0</v>
      </c>
      <c r="G282" s="19" t="n">
        <f aca="false">IF(A282="",1,IFERROR(IF(N(INDEX(Meals!$B$6:$B$65,MATCH(A282,Meals!$A$6:$A$65,0)))&gt;0,Week!$B$3/INDEX(Meals!$B$6:$B$65,MATCH(A282,Meals!$A$6:$A$65,0)),1),1))</f>
        <v>1</v>
      </c>
      <c r="H282" s="19" t="n">
        <f aca="false">IF(OR(B282="",F282=0),0,N(C282)*F282*G282)</f>
        <v>0</v>
      </c>
      <c r="I282" s="20" t="str">
        <f aca="false">IF(B282="","",LOWER(TRIM(B282))&amp;" | "&amp;LOWER(TRIM(D282)))</f>
        <v/>
      </c>
      <c r="J282" s="18" t="str">
        <f aca="false">IF(H282&lt;=0,"",IF(COUNTIFS(I$5:I281,I282,H$5:H281,"&gt;0")=0,IFERROR(MATCH(E282,Lists!$A$2:$A$8,0),7)*10000+ROW(),""))</f>
        <v/>
      </c>
    </row>
    <row r="283" customFormat="false" ht="15" hidden="false" customHeight="false" outlineLevel="0" collapsed="false">
      <c r="A283" s="10"/>
      <c r="B283" s="10"/>
      <c r="C283" s="17"/>
      <c r="D283" s="10"/>
      <c r="E283" s="10"/>
      <c r="F283" s="18" t="n">
        <f aca="false">IF(A283="",0,COUNTIF(Week!$B$6:$E$12,A283))</f>
        <v>0</v>
      </c>
      <c r="G283" s="19" t="n">
        <f aca="false">IF(A283="",1,IFERROR(IF(N(INDEX(Meals!$B$6:$B$65,MATCH(A283,Meals!$A$6:$A$65,0)))&gt;0,Week!$B$3/INDEX(Meals!$B$6:$B$65,MATCH(A283,Meals!$A$6:$A$65,0)),1),1))</f>
        <v>1</v>
      </c>
      <c r="H283" s="19" t="n">
        <f aca="false">IF(OR(B283="",F283=0),0,N(C283)*F283*G283)</f>
        <v>0</v>
      </c>
      <c r="I283" s="20" t="str">
        <f aca="false">IF(B283="","",LOWER(TRIM(B283))&amp;" | "&amp;LOWER(TRIM(D283)))</f>
        <v/>
      </c>
      <c r="J283" s="18" t="str">
        <f aca="false">IF(H283&lt;=0,"",IF(COUNTIFS(I$5:I282,I283,H$5:H282,"&gt;0")=0,IFERROR(MATCH(E283,Lists!$A$2:$A$8,0),7)*10000+ROW(),""))</f>
        <v/>
      </c>
    </row>
    <row r="284" customFormat="false" ht="15" hidden="false" customHeight="false" outlineLevel="0" collapsed="false">
      <c r="A284" s="10"/>
      <c r="B284" s="10"/>
      <c r="C284" s="17"/>
      <c r="D284" s="10"/>
      <c r="E284" s="10"/>
      <c r="F284" s="18" t="n">
        <f aca="false">IF(A284="",0,COUNTIF(Week!$B$6:$E$12,A284))</f>
        <v>0</v>
      </c>
      <c r="G284" s="19" t="n">
        <f aca="false">IF(A284="",1,IFERROR(IF(N(INDEX(Meals!$B$6:$B$65,MATCH(A284,Meals!$A$6:$A$65,0)))&gt;0,Week!$B$3/INDEX(Meals!$B$6:$B$65,MATCH(A284,Meals!$A$6:$A$65,0)),1),1))</f>
        <v>1</v>
      </c>
      <c r="H284" s="19" t="n">
        <f aca="false">IF(OR(B284="",F284=0),0,N(C284)*F284*G284)</f>
        <v>0</v>
      </c>
      <c r="I284" s="20" t="str">
        <f aca="false">IF(B284="","",LOWER(TRIM(B284))&amp;" | "&amp;LOWER(TRIM(D284)))</f>
        <v/>
      </c>
      <c r="J284" s="18" t="str">
        <f aca="false">IF(H284&lt;=0,"",IF(COUNTIFS(I$5:I283,I284,H$5:H283,"&gt;0")=0,IFERROR(MATCH(E284,Lists!$A$2:$A$8,0),7)*10000+ROW(),""))</f>
        <v/>
      </c>
    </row>
    <row r="285" customFormat="false" ht="15" hidden="false" customHeight="false" outlineLevel="0" collapsed="false">
      <c r="A285" s="10"/>
      <c r="B285" s="10"/>
      <c r="C285" s="17"/>
      <c r="D285" s="10"/>
      <c r="E285" s="10"/>
      <c r="F285" s="18" t="n">
        <f aca="false">IF(A285="",0,COUNTIF(Week!$B$6:$E$12,A285))</f>
        <v>0</v>
      </c>
      <c r="G285" s="19" t="n">
        <f aca="false">IF(A285="",1,IFERROR(IF(N(INDEX(Meals!$B$6:$B$65,MATCH(A285,Meals!$A$6:$A$65,0)))&gt;0,Week!$B$3/INDEX(Meals!$B$6:$B$65,MATCH(A285,Meals!$A$6:$A$65,0)),1),1))</f>
        <v>1</v>
      </c>
      <c r="H285" s="19" t="n">
        <f aca="false">IF(OR(B285="",F285=0),0,N(C285)*F285*G285)</f>
        <v>0</v>
      </c>
      <c r="I285" s="20" t="str">
        <f aca="false">IF(B285="","",LOWER(TRIM(B285))&amp;" | "&amp;LOWER(TRIM(D285)))</f>
        <v/>
      </c>
      <c r="J285" s="18" t="str">
        <f aca="false">IF(H285&lt;=0,"",IF(COUNTIFS(I$5:I284,I285,H$5:H284,"&gt;0")=0,IFERROR(MATCH(E285,Lists!$A$2:$A$8,0),7)*10000+ROW(),""))</f>
        <v/>
      </c>
    </row>
    <row r="286" customFormat="false" ht="15" hidden="false" customHeight="false" outlineLevel="0" collapsed="false">
      <c r="A286" s="10"/>
      <c r="B286" s="10"/>
      <c r="C286" s="17"/>
      <c r="D286" s="10"/>
      <c r="E286" s="10"/>
      <c r="F286" s="18" t="n">
        <f aca="false">IF(A286="",0,COUNTIF(Week!$B$6:$E$12,A286))</f>
        <v>0</v>
      </c>
      <c r="G286" s="19" t="n">
        <f aca="false">IF(A286="",1,IFERROR(IF(N(INDEX(Meals!$B$6:$B$65,MATCH(A286,Meals!$A$6:$A$65,0)))&gt;0,Week!$B$3/INDEX(Meals!$B$6:$B$65,MATCH(A286,Meals!$A$6:$A$65,0)),1),1))</f>
        <v>1</v>
      </c>
      <c r="H286" s="19" t="n">
        <f aca="false">IF(OR(B286="",F286=0),0,N(C286)*F286*G286)</f>
        <v>0</v>
      </c>
      <c r="I286" s="20" t="str">
        <f aca="false">IF(B286="","",LOWER(TRIM(B286))&amp;" | "&amp;LOWER(TRIM(D286)))</f>
        <v/>
      </c>
      <c r="J286" s="18" t="str">
        <f aca="false">IF(H286&lt;=0,"",IF(COUNTIFS(I$5:I285,I286,H$5:H285,"&gt;0")=0,IFERROR(MATCH(E286,Lists!$A$2:$A$8,0),7)*10000+ROW(),""))</f>
        <v/>
      </c>
    </row>
    <row r="287" customFormat="false" ht="15" hidden="false" customHeight="false" outlineLevel="0" collapsed="false">
      <c r="A287" s="10"/>
      <c r="B287" s="10"/>
      <c r="C287" s="17"/>
      <c r="D287" s="10"/>
      <c r="E287" s="10"/>
      <c r="F287" s="18" t="n">
        <f aca="false">IF(A287="",0,COUNTIF(Week!$B$6:$E$12,A287))</f>
        <v>0</v>
      </c>
      <c r="G287" s="19" t="n">
        <f aca="false">IF(A287="",1,IFERROR(IF(N(INDEX(Meals!$B$6:$B$65,MATCH(A287,Meals!$A$6:$A$65,0)))&gt;0,Week!$B$3/INDEX(Meals!$B$6:$B$65,MATCH(A287,Meals!$A$6:$A$65,0)),1),1))</f>
        <v>1</v>
      </c>
      <c r="H287" s="19" t="n">
        <f aca="false">IF(OR(B287="",F287=0),0,N(C287)*F287*G287)</f>
        <v>0</v>
      </c>
      <c r="I287" s="20" t="str">
        <f aca="false">IF(B287="","",LOWER(TRIM(B287))&amp;" | "&amp;LOWER(TRIM(D287)))</f>
        <v/>
      </c>
      <c r="J287" s="18" t="str">
        <f aca="false">IF(H287&lt;=0,"",IF(COUNTIFS(I$5:I286,I287,H$5:H286,"&gt;0")=0,IFERROR(MATCH(E287,Lists!$A$2:$A$8,0),7)*10000+ROW(),""))</f>
        <v/>
      </c>
    </row>
    <row r="288" customFormat="false" ht="15" hidden="false" customHeight="false" outlineLevel="0" collapsed="false">
      <c r="A288" s="10"/>
      <c r="B288" s="10"/>
      <c r="C288" s="17"/>
      <c r="D288" s="10"/>
      <c r="E288" s="10"/>
      <c r="F288" s="18" t="n">
        <f aca="false">IF(A288="",0,COUNTIF(Week!$B$6:$E$12,A288))</f>
        <v>0</v>
      </c>
      <c r="G288" s="19" t="n">
        <f aca="false">IF(A288="",1,IFERROR(IF(N(INDEX(Meals!$B$6:$B$65,MATCH(A288,Meals!$A$6:$A$65,0)))&gt;0,Week!$B$3/INDEX(Meals!$B$6:$B$65,MATCH(A288,Meals!$A$6:$A$65,0)),1),1))</f>
        <v>1</v>
      </c>
      <c r="H288" s="19" t="n">
        <f aca="false">IF(OR(B288="",F288=0),0,N(C288)*F288*G288)</f>
        <v>0</v>
      </c>
      <c r="I288" s="20" t="str">
        <f aca="false">IF(B288="","",LOWER(TRIM(B288))&amp;" | "&amp;LOWER(TRIM(D288)))</f>
        <v/>
      </c>
      <c r="J288" s="18" t="str">
        <f aca="false">IF(H288&lt;=0,"",IF(COUNTIFS(I$5:I287,I288,H$5:H287,"&gt;0")=0,IFERROR(MATCH(E288,Lists!$A$2:$A$8,0),7)*10000+ROW(),""))</f>
        <v/>
      </c>
    </row>
    <row r="289" customFormat="false" ht="15" hidden="false" customHeight="false" outlineLevel="0" collapsed="false">
      <c r="A289" s="10"/>
      <c r="B289" s="10"/>
      <c r="C289" s="17"/>
      <c r="D289" s="10"/>
      <c r="E289" s="10"/>
      <c r="F289" s="18" t="n">
        <f aca="false">IF(A289="",0,COUNTIF(Week!$B$6:$E$12,A289))</f>
        <v>0</v>
      </c>
      <c r="G289" s="19" t="n">
        <f aca="false">IF(A289="",1,IFERROR(IF(N(INDEX(Meals!$B$6:$B$65,MATCH(A289,Meals!$A$6:$A$65,0)))&gt;0,Week!$B$3/INDEX(Meals!$B$6:$B$65,MATCH(A289,Meals!$A$6:$A$65,0)),1),1))</f>
        <v>1</v>
      </c>
      <c r="H289" s="19" t="n">
        <f aca="false">IF(OR(B289="",F289=0),0,N(C289)*F289*G289)</f>
        <v>0</v>
      </c>
      <c r="I289" s="20" t="str">
        <f aca="false">IF(B289="","",LOWER(TRIM(B289))&amp;" | "&amp;LOWER(TRIM(D289)))</f>
        <v/>
      </c>
      <c r="J289" s="18" t="str">
        <f aca="false">IF(H289&lt;=0,"",IF(COUNTIFS(I$5:I288,I289,H$5:H288,"&gt;0")=0,IFERROR(MATCH(E289,Lists!$A$2:$A$8,0),7)*10000+ROW(),""))</f>
        <v/>
      </c>
    </row>
    <row r="290" customFormat="false" ht="15" hidden="false" customHeight="false" outlineLevel="0" collapsed="false">
      <c r="A290" s="10"/>
      <c r="B290" s="10"/>
      <c r="C290" s="17"/>
      <c r="D290" s="10"/>
      <c r="E290" s="10"/>
      <c r="F290" s="18" t="n">
        <f aca="false">IF(A290="",0,COUNTIF(Week!$B$6:$E$12,A290))</f>
        <v>0</v>
      </c>
      <c r="G290" s="19" t="n">
        <f aca="false">IF(A290="",1,IFERROR(IF(N(INDEX(Meals!$B$6:$B$65,MATCH(A290,Meals!$A$6:$A$65,0)))&gt;0,Week!$B$3/INDEX(Meals!$B$6:$B$65,MATCH(A290,Meals!$A$6:$A$65,0)),1),1))</f>
        <v>1</v>
      </c>
      <c r="H290" s="19" t="n">
        <f aca="false">IF(OR(B290="",F290=0),0,N(C290)*F290*G290)</f>
        <v>0</v>
      </c>
      <c r="I290" s="20" t="str">
        <f aca="false">IF(B290="","",LOWER(TRIM(B290))&amp;" | "&amp;LOWER(TRIM(D290)))</f>
        <v/>
      </c>
      <c r="J290" s="18" t="str">
        <f aca="false">IF(H290&lt;=0,"",IF(COUNTIFS(I$5:I289,I290,H$5:H289,"&gt;0")=0,IFERROR(MATCH(E290,Lists!$A$2:$A$8,0),7)*10000+ROW(),""))</f>
        <v/>
      </c>
    </row>
    <row r="291" customFormat="false" ht="15" hidden="false" customHeight="false" outlineLevel="0" collapsed="false">
      <c r="A291" s="10"/>
      <c r="B291" s="10"/>
      <c r="C291" s="17"/>
      <c r="D291" s="10"/>
      <c r="E291" s="10"/>
      <c r="F291" s="18" t="n">
        <f aca="false">IF(A291="",0,COUNTIF(Week!$B$6:$E$12,A291))</f>
        <v>0</v>
      </c>
      <c r="G291" s="19" t="n">
        <f aca="false">IF(A291="",1,IFERROR(IF(N(INDEX(Meals!$B$6:$B$65,MATCH(A291,Meals!$A$6:$A$65,0)))&gt;0,Week!$B$3/INDEX(Meals!$B$6:$B$65,MATCH(A291,Meals!$A$6:$A$65,0)),1),1))</f>
        <v>1</v>
      </c>
      <c r="H291" s="19" t="n">
        <f aca="false">IF(OR(B291="",F291=0),0,N(C291)*F291*G291)</f>
        <v>0</v>
      </c>
      <c r="I291" s="20" t="str">
        <f aca="false">IF(B291="","",LOWER(TRIM(B291))&amp;" | "&amp;LOWER(TRIM(D291)))</f>
        <v/>
      </c>
      <c r="J291" s="18" t="str">
        <f aca="false">IF(H291&lt;=0,"",IF(COUNTIFS(I$5:I290,I291,H$5:H290,"&gt;0")=0,IFERROR(MATCH(E291,Lists!$A$2:$A$8,0),7)*10000+ROW(),""))</f>
        <v/>
      </c>
    </row>
    <row r="292" customFormat="false" ht="15" hidden="false" customHeight="false" outlineLevel="0" collapsed="false">
      <c r="A292" s="10"/>
      <c r="B292" s="10"/>
      <c r="C292" s="17"/>
      <c r="D292" s="10"/>
      <c r="E292" s="10"/>
      <c r="F292" s="18" t="n">
        <f aca="false">IF(A292="",0,COUNTIF(Week!$B$6:$E$12,A292))</f>
        <v>0</v>
      </c>
      <c r="G292" s="19" t="n">
        <f aca="false">IF(A292="",1,IFERROR(IF(N(INDEX(Meals!$B$6:$B$65,MATCH(A292,Meals!$A$6:$A$65,0)))&gt;0,Week!$B$3/INDEX(Meals!$B$6:$B$65,MATCH(A292,Meals!$A$6:$A$65,0)),1),1))</f>
        <v>1</v>
      </c>
      <c r="H292" s="19" t="n">
        <f aca="false">IF(OR(B292="",F292=0),0,N(C292)*F292*G292)</f>
        <v>0</v>
      </c>
      <c r="I292" s="20" t="str">
        <f aca="false">IF(B292="","",LOWER(TRIM(B292))&amp;" | "&amp;LOWER(TRIM(D292)))</f>
        <v/>
      </c>
      <c r="J292" s="18" t="str">
        <f aca="false">IF(H292&lt;=0,"",IF(COUNTIFS(I$5:I291,I292,H$5:H291,"&gt;0")=0,IFERROR(MATCH(E292,Lists!$A$2:$A$8,0),7)*10000+ROW(),""))</f>
        <v/>
      </c>
    </row>
    <row r="293" customFormat="false" ht="15" hidden="false" customHeight="false" outlineLevel="0" collapsed="false">
      <c r="A293" s="10"/>
      <c r="B293" s="10"/>
      <c r="C293" s="17"/>
      <c r="D293" s="10"/>
      <c r="E293" s="10"/>
      <c r="F293" s="18" t="n">
        <f aca="false">IF(A293="",0,COUNTIF(Week!$B$6:$E$12,A293))</f>
        <v>0</v>
      </c>
      <c r="G293" s="19" t="n">
        <f aca="false">IF(A293="",1,IFERROR(IF(N(INDEX(Meals!$B$6:$B$65,MATCH(A293,Meals!$A$6:$A$65,0)))&gt;0,Week!$B$3/INDEX(Meals!$B$6:$B$65,MATCH(A293,Meals!$A$6:$A$65,0)),1),1))</f>
        <v>1</v>
      </c>
      <c r="H293" s="19" t="n">
        <f aca="false">IF(OR(B293="",F293=0),0,N(C293)*F293*G293)</f>
        <v>0</v>
      </c>
      <c r="I293" s="20" t="str">
        <f aca="false">IF(B293="","",LOWER(TRIM(B293))&amp;" | "&amp;LOWER(TRIM(D293)))</f>
        <v/>
      </c>
      <c r="J293" s="18" t="str">
        <f aca="false">IF(H293&lt;=0,"",IF(COUNTIFS(I$5:I292,I293,H$5:H292,"&gt;0")=0,IFERROR(MATCH(E293,Lists!$A$2:$A$8,0),7)*10000+ROW(),""))</f>
        <v/>
      </c>
    </row>
    <row r="294" customFormat="false" ht="15" hidden="false" customHeight="false" outlineLevel="0" collapsed="false">
      <c r="A294" s="10"/>
      <c r="B294" s="10"/>
      <c r="C294" s="17"/>
      <c r="D294" s="10"/>
      <c r="E294" s="10"/>
      <c r="F294" s="18" t="n">
        <f aca="false">IF(A294="",0,COUNTIF(Week!$B$6:$E$12,A294))</f>
        <v>0</v>
      </c>
      <c r="G294" s="19" t="n">
        <f aca="false">IF(A294="",1,IFERROR(IF(N(INDEX(Meals!$B$6:$B$65,MATCH(A294,Meals!$A$6:$A$65,0)))&gt;0,Week!$B$3/INDEX(Meals!$B$6:$B$65,MATCH(A294,Meals!$A$6:$A$65,0)),1),1))</f>
        <v>1</v>
      </c>
      <c r="H294" s="19" t="n">
        <f aca="false">IF(OR(B294="",F294=0),0,N(C294)*F294*G294)</f>
        <v>0</v>
      </c>
      <c r="I294" s="20" t="str">
        <f aca="false">IF(B294="","",LOWER(TRIM(B294))&amp;" | "&amp;LOWER(TRIM(D294)))</f>
        <v/>
      </c>
      <c r="J294" s="18" t="str">
        <f aca="false">IF(H294&lt;=0,"",IF(COUNTIFS(I$5:I293,I294,H$5:H293,"&gt;0")=0,IFERROR(MATCH(E294,Lists!$A$2:$A$8,0),7)*10000+ROW(),""))</f>
        <v/>
      </c>
    </row>
    <row r="295" customFormat="false" ht="15" hidden="false" customHeight="false" outlineLevel="0" collapsed="false">
      <c r="A295" s="10"/>
      <c r="B295" s="10"/>
      <c r="C295" s="17"/>
      <c r="D295" s="10"/>
      <c r="E295" s="10"/>
      <c r="F295" s="18" t="n">
        <f aca="false">IF(A295="",0,COUNTIF(Week!$B$6:$E$12,A295))</f>
        <v>0</v>
      </c>
      <c r="G295" s="19" t="n">
        <f aca="false">IF(A295="",1,IFERROR(IF(N(INDEX(Meals!$B$6:$B$65,MATCH(A295,Meals!$A$6:$A$65,0)))&gt;0,Week!$B$3/INDEX(Meals!$B$6:$B$65,MATCH(A295,Meals!$A$6:$A$65,0)),1),1))</f>
        <v>1</v>
      </c>
      <c r="H295" s="19" t="n">
        <f aca="false">IF(OR(B295="",F295=0),0,N(C295)*F295*G295)</f>
        <v>0</v>
      </c>
      <c r="I295" s="20" t="str">
        <f aca="false">IF(B295="","",LOWER(TRIM(B295))&amp;" | "&amp;LOWER(TRIM(D295)))</f>
        <v/>
      </c>
      <c r="J295" s="18" t="str">
        <f aca="false">IF(H295&lt;=0,"",IF(COUNTIFS(I$5:I294,I295,H$5:H294,"&gt;0")=0,IFERROR(MATCH(E295,Lists!$A$2:$A$8,0),7)*10000+ROW(),""))</f>
        <v/>
      </c>
    </row>
    <row r="296" customFormat="false" ht="15" hidden="false" customHeight="false" outlineLevel="0" collapsed="false">
      <c r="A296" s="10"/>
      <c r="B296" s="10"/>
      <c r="C296" s="17"/>
      <c r="D296" s="10"/>
      <c r="E296" s="10"/>
      <c r="F296" s="18" t="n">
        <f aca="false">IF(A296="",0,COUNTIF(Week!$B$6:$E$12,A296))</f>
        <v>0</v>
      </c>
      <c r="G296" s="19" t="n">
        <f aca="false">IF(A296="",1,IFERROR(IF(N(INDEX(Meals!$B$6:$B$65,MATCH(A296,Meals!$A$6:$A$65,0)))&gt;0,Week!$B$3/INDEX(Meals!$B$6:$B$65,MATCH(A296,Meals!$A$6:$A$65,0)),1),1))</f>
        <v>1</v>
      </c>
      <c r="H296" s="19" t="n">
        <f aca="false">IF(OR(B296="",F296=0),0,N(C296)*F296*G296)</f>
        <v>0</v>
      </c>
      <c r="I296" s="20" t="str">
        <f aca="false">IF(B296="","",LOWER(TRIM(B296))&amp;" | "&amp;LOWER(TRIM(D296)))</f>
        <v/>
      </c>
      <c r="J296" s="18" t="str">
        <f aca="false">IF(H296&lt;=0,"",IF(COUNTIFS(I$5:I295,I296,H$5:H295,"&gt;0")=0,IFERROR(MATCH(E296,Lists!$A$2:$A$8,0),7)*10000+ROW(),""))</f>
        <v/>
      </c>
    </row>
    <row r="297" customFormat="false" ht="15" hidden="false" customHeight="false" outlineLevel="0" collapsed="false">
      <c r="A297" s="10"/>
      <c r="B297" s="10"/>
      <c r="C297" s="17"/>
      <c r="D297" s="10"/>
      <c r="E297" s="10"/>
      <c r="F297" s="18" t="n">
        <f aca="false">IF(A297="",0,COUNTIF(Week!$B$6:$E$12,A297))</f>
        <v>0</v>
      </c>
      <c r="G297" s="19" t="n">
        <f aca="false">IF(A297="",1,IFERROR(IF(N(INDEX(Meals!$B$6:$B$65,MATCH(A297,Meals!$A$6:$A$65,0)))&gt;0,Week!$B$3/INDEX(Meals!$B$6:$B$65,MATCH(A297,Meals!$A$6:$A$65,0)),1),1))</f>
        <v>1</v>
      </c>
      <c r="H297" s="19" t="n">
        <f aca="false">IF(OR(B297="",F297=0),0,N(C297)*F297*G297)</f>
        <v>0</v>
      </c>
      <c r="I297" s="20" t="str">
        <f aca="false">IF(B297="","",LOWER(TRIM(B297))&amp;" | "&amp;LOWER(TRIM(D297)))</f>
        <v/>
      </c>
      <c r="J297" s="18" t="str">
        <f aca="false">IF(H297&lt;=0,"",IF(COUNTIFS(I$5:I296,I297,H$5:H296,"&gt;0")=0,IFERROR(MATCH(E297,Lists!$A$2:$A$8,0),7)*10000+ROW(),""))</f>
        <v/>
      </c>
    </row>
    <row r="298" customFormat="false" ht="15" hidden="false" customHeight="false" outlineLevel="0" collapsed="false">
      <c r="A298" s="10"/>
      <c r="B298" s="10"/>
      <c r="C298" s="17"/>
      <c r="D298" s="10"/>
      <c r="E298" s="10"/>
      <c r="F298" s="18" t="n">
        <f aca="false">IF(A298="",0,COUNTIF(Week!$B$6:$E$12,A298))</f>
        <v>0</v>
      </c>
      <c r="G298" s="19" t="n">
        <f aca="false">IF(A298="",1,IFERROR(IF(N(INDEX(Meals!$B$6:$B$65,MATCH(A298,Meals!$A$6:$A$65,0)))&gt;0,Week!$B$3/INDEX(Meals!$B$6:$B$65,MATCH(A298,Meals!$A$6:$A$65,0)),1),1))</f>
        <v>1</v>
      </c>
      <c r="H298" s="19" t="n">
        <f aca="false">IF(OR(B298="",F298=0),0,N(C298)*F298*G298)</f>
        <v>0</v>
      </c>
      <c r="I298" s="20" t="str">
        <f aca="false">IF(B298="","",LOWER(TRIM(B298))&amp;" | "&amp;LOWER(TRIM(D298)))</f>
        <v/>
      </c>
      <c r="J298" s="18" t="str">
        <f aca="false">IF(H298&lt;=0,"",IF(COUNTIFS(I$5:I297,I298,H$5:H297,"&gt;0")=0,IFERROR(MATCH(E298,Lists!$A$2:$A$8,0),7)*10000+ROW(),""))</f>
        <v/>
      </c>
    </row>
    <row r="299" customFormat="false" ht="15" hidden="false" customHeight="false" outlineLevel="0" collapsed="false">
      <c r="A299" s="10"/>
      <c r="B299" s="10"/>
      <c r="C299" s="17"/>
      <c r="D299" s="10"/>
      <c r="E299" s="10"/>
      <c r="F299" s="18" t="n">
        <f aca="false">IF(A299="",0,COUNTIF(Week!$B$6:$E$12,A299))</f>
        <v>0</v>
      </c>
      <c r="G299" s="19" t="n">
        <f aca="false">IF(A299="",1,IFERROR(IF(N(INDEX(Meals!$B$6:$B$65,MATCH(A299,Meals!$A$6:$A$65,0)))&gt;0,Week!$B$3/INDEX(Meals!$B$6:$B$65,MATCH(A299,Meals!$A$6:$A$65,0)),1),1))</f>
        <v>1</v>
      </c>
      <c r="H299" s="19" t="n">
        <f aca="false">IF(OR(B299="",F299=0),0,N(C299)*F299*G299)</f>
        <v>0</v>
      </c>
      <c r="I299" s="20" t="str">
        <f aca="false">IF(B299="","",LOWER(TRIM(B299))&amp;" | "&amp;LOWER(TRIM(D299)))</f>
        <v/>
      </c>
      <c r="J299" s="18" t="str">
        <f aca="false">IF(H299&lt;=0,"",IF(COUNTIFS(I$5:I298,I299,H$5:H298,"&gt;0")=0,IFERROR(MATCH(E299,Lists!$A$2:$A$8,0),7)*10000+ROW(),""))</f>
        <v/>
      </c>
    </row>
    <row r="300" customFormat="false" ht="15" hidden="false" customHeight="false" outlineLevel="0" collapsed="false">
      <c r="A300" s="10"/>
      <c r="B300" s="10"/>
      <c r="C300" s="17"/>
      <c r="D300" s="10"/>
      <c r="E300" s="10"/>
      <c r="F300" s="18" t="n">
        <f aca="false">IF(A300="",0,COUNTIF(Week!$B$6:$E$12,A300))</f>
        <v>0</v>
      </c>
      <c r="G300" s="19" t="n">
        <f aca="false">IF(A300="",1,IFERROR(IF(N(INDEX(Meals!$B$6:$B$65,MATCH(A300,Meals!$A$6:$A$65,0)))&gt;0,Week!$B$3/INDEX(Meals!$B$6:$B$65,MATCH(A300,Meals!$A$6:$A$65,0)),1),1))</f>
        <v>1</v>
      </c>
      <c r="H300" s="19" t="n">
        <f aca="false">IF(OR(B300="",F300=0),0,N(C300)*F300*G300)</f>
        <v>0</v>
      </c>
      <c r="I300" s="20" t="str">
        <f aca="false">IF(B300="","",LOWER(TRIM(B300))&amp;" | "&amp;LOWER(TRIM(D300)))</f>
        <v/>
      </c>
      <c r="J300" s="18" t="str">
        <f aca="false">IF(H300&lt;=0,"",IF(COUNTIFS(I$5:I299,I300,H$5:H299,"&gt;0")=0,IFERROR(MATCH(E300,Lists!$A$2:$A$8,0),7)*10000+ROW(),""))</f>
        <v/>
      </c>
    </row>
    <row r="301" customFormat="false" ht="15" hidden="false" customHeight="false" outlineLevel="0" collapsed="false">
      <c r="A301" s="10"/>
      <c r="B301" s="10"/>
      <c r="C301" s="17"/>
      <c r="D301" s="10"/>
      <c r="E301" s="10"/>
      <c r="F301" s="18" t="n">
        <f aca="false">IF(A301="",0,COUNTIF(Week!$B$6:$E$12,A301))</f>
        <v>0</v>
      </c>
      <c r="G301" s="19" t="n">
        <f aca="false">IF(A301="",1,IFERROR(IF(N(INDEX(Meals!$B$6:$B$65,MATCH(A301,Meals!$A$6:$A$65,0)))&gt;0,Week!$B$3/INDEX(Meals!$B$6:$B$65,MATCH(A301,Meals!$A$6:$A$65,0)),1),1))</f>
        <v>1</v>
      </c>
      <c r="H301" s="19" t="n">
        <f aca="false">IF(OR(B301="",F301=0),0,N(C301)*F301*G301)</f>
        <v>0</v>
      </c>
      <c r="I301" s="20" t="str">
        <f aca="false">IF(B301="","",LOWER(TRIM(B301))&amp;" | "&amp;LOWER(TRIM(D301)))</f>
        <v/>
      </c>
      <c r="J301" s="18" t="str">
        <f aca="false">IF(H301&lt;=0,"",IF(COUNTIFS(I$5:I300,I301,H$5:H300,"&gt;0")=0,IFERROR(MATCH(E301,Lists!$A$2:$A$8,0),7)*10000+ROW(),""))</f>
        <v/>
      </c>
    </row>
    <row r="302" customFormat="false" ht="15" hidden="false" customHeight="false" outlineLevel="0" collapsed="false">
      <c r="A302" s="10"/>
      <c r="B302" s="10"/>
      <c r="C302" s="17"/>
      <c r="D302" s="10"/>
      <c r="E302" s="10"/>
      <c r="F302" s="18" t="n">
        <f aca="false">IF(A302="",0,COUNTIF(Week!$B$6:$E$12,A302))</f>
        <v>0</v>
      </c>
      <c r="G302" s="19" t="n">
        <f aca="false">IF(A302="",1,IFERROR(IF(N(INDEX(Meals!$B$6:$B$65,MATCH(A302,Meals!$A$6:$A$65,0)))&gt;0,Week!$B$3/INDEX(Meals!$B$6:$B$65,MATCH(A302,Meals!$A$6:$A$65,0)),1),1))</f>
        <v>1</v>
      </c>
      <c r="H302" s="19" t="n">
        <f aca="false">IF(OR(B302="",F302=0),0,N(C302)*F302*G302)</f>
        <v>0</v>
      </c>
      <c r="I302" s="20" t="str">
        <f aca="false">IF(B302="","",LOWER(TRIM(B302))&amp;" | "&amp;LOWER(TRIM(D302)))</f>
        <v/>
      </c>
      <c r="J302" s="18" t="str">
        <f aca="false">IF(H302&lt;=0,"",IF(COUNTIFS(I$5:I301,I302,H$5:H301,"&gt;0")=0,IFERROR(MATCH(E302,Lists!$A$2:$A$8,0),7)*10000+ROW(),""))</f>
        <v/>
      </c>
    </row>
    <row r="303" customFormat="false" ht="15" hidden="false" customHeight="false" outlineLevel="0" collapsed="false">
      <c r="A303" s="10"/>
      <c r="B303" s="10"/>
      <c r="C303" s="17"/>
      <c r="D303" s="10"/>
      <c r="E303" s="10"/>
      <c r="F303" s="18" t="n">
        <f aca="false">IF(A303="",0,COUNTIF(Week!$B$6:$E$12,A303))</f>
        <v>0</v>
      </c>
      <c r="G303" s="19" t="n">
        <f aca="false">IF(A303="",1,IFERROR(IF(N(INDEX(Meals!$B$6:$B$65,MATCH(A303,Meals!$A$6:$A$65,0)))&gt;0,Week!$B$3/INDEX(Meals!$B$6:$B$65,MATCH(A303,Meals!$A$6:$A$65,0)),1),1))</f>
        <v>1</v>
      </c>
      <c r="H303" s="19" t="n">
        <f aca="false">IF(OR(B303="",F303=0),0,N(C303)*F303*G303)</f>
        <v>0</v>
      </c>
      <c r="I303" s="20" t="str">
        <f aca="false">IF(B303="","",LOWER(TRIM(B303))&amp;" | "&amp;LOWER(TRIM(D303)))</f>
        <v/>
      </c>
      <c r="J303" s="18" t="str">
        <f aca="false">IF(H303&lt;=0,"",IF(COUNTIFS(I$5:I302,I303,H$5:H302,"&gt;0")=0,IFERROR(MATCH(E303,Lists!$A$2:$A$8,0),7)*10000+ROW(),""))</f>
        <v/>
      </c>
    </row>
    <row r="304" customFormat="false" ht="15" hidden="false" customHeight="false" outlineLevel="0" collapsed="false">
      <c r="A304" s="10"/>
      <c r="B304" s="10"/>
      <c r="C304" s="17"/>
      <c r="D304" s="10"/>
      <c r="E304" s="10"/>
      <c r="F304" s="18" t="n">
        <f aca="false">IF(A304="",0,COUNTIF(Week!$B$6:$E$12,A304))</f>
        <v>0</v>
      </c>
      <c r="G304" s="19" t="n">
        <f aca="false">IF(A304="",1,IFERROR(IF(N(INDEX(Meals!$B$6:$B$65,MATCH(A304,Meals!$A$6:$A$65,0)))&gt;0,Week!$B$3/INDEX(Meals!$B$6:$B$65,MATCH(A304,Meals!$A$6:$A$65,0)),1),1))</f>
        <v>1</v>
      </c>
      <c r="H304" s="19" t="n">
        <f aca="false">IF(OR(B304="",F304=0),0,N(C304)*F304*G304)</f>
        <v>0</v>
      </c>
      <c r="I304" s="20" t="str">
        <f aca="false">IF(B304="","",LOWER(TRIM(B304))&amp;" | "&amp;LOWER(TRIM(D304)))</f>
        <v/>
      </c>
      <c r="J304" s="18" t="str">
        <f aca="false">IF(H304&lt;=0,"",IF(COUNTIFS(I$5:I303,I304,H$5:H303,"&gt;0")=0,IFERROR(MATCH(E304,Lists!$A$2:$A$8,0),7)*10000+ROW(),""))</f>
        <v/>
      </c>
    </row>
    <row r="305" customFormat="false" ht="15" hidden="false" customHeight="false" outlineLevel="0" collapsed="false">
      <c r="A305" s="10"/>
      <c r="B305" s="10"/>
      <c r="C305" s="17"/>
      <c r="D305" s="10"/>
      <c r="E305" s="10"/>
      <c r="F305" s="18" t="n">
        <f aca="false">IF(A305="",0,COUNTIF(Week!$B$6:$E$12,A305))</f>
        <v>0</v>
      </c>
      <c r="G305" s="19" t="n">
        <f aca="false">IF(A305="",1,IFERROR(IF(N(INDEX(Meals!$B$6:$B$65,MATCH(A305,Meals!$A$6:$A$65,0)))&gt;0,Week!$B$3/INDEX(Meals!$B$6:$B$65,MATCH(A305,Meals!$A$6:$A$65,0)),1),1))</f>
        <v>1</v>
      </c>
      <c r="H305" s="19" t="n">
        <f aca="false">IF(OR(B305="",F305=0),0,N(C305)*F305*G305)</f>
        <v>0</v>
      </c>
      <c r="I305" s="20" t="str">
        <f aca="false">IF(B305="","",LOWER(TRIM(B305))&amp;" | "&amp;LOWER(TRIM(D305)))</f>
        <v/>
      </c>
      <c r="J305" s="18" t="str">
        <f aca="false">IF(H305&lt;=0,"",IF(COUNTIFS(I$5:I304,I305,H$5:H304,"&gt;0")=0,IFERROR(MATCH(E305,Lists!$A$2:$A$8,0),7)*10000+ROW(),""))</f>
        <v/>
      </c>
    </row>
  </sheetData>
  <dataValidations count="3">
    <dataValidation allowBlank="true" error="Pick a meal from the list, or add it on the Meals tab first." errorStyle="stop" errorTitle="Unknown meal" operator="between" showDropDown="false" showErrorMessage="true" showInputMessage="false" sqref="A6:A305" type="list">
      <formula1>Meals!$A$6:$A$65</formula1>
      <formula2>0</formula2>
    </dataValidation>
    <dataValidation allowBlank="true" errorStyle="stop" operator="between" showDropDown="false" showErrorMessage="false" showInputMessage="false" sqref="E6:E305" type="list">
      <formula1>Lists!$A$2:$A$8</formula1>
      <formula2>0</formula2>
    </dataValidation>
    <dataValidation allowBlank="true" error="Type an amount of 0 or more." errorStyle="stop" operator="greaterThanOrEqual" showDropDown="false" showErrorMessage="true" showInputMessage="false" sqref="C6:C3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42</v>
      </c>
    </row>
    <row r="2" customFormat="false" ht="15" hidden="false" customHeight="false" outlineLevel="0" collapsed="false">
      <c r="A2" s="0" t="s">
        <v>69</v>
      </c>
    </row>
    <row r="3" customFormat="false" ht="15" hidden="false" customHeight="false" outlineLevel="0" collapsed="false">
      <c r="A3" s="0" t="s">
        <v>76</v>
      </c>
    </row>
    <row r="4" customFormat="false" ht="15" hidden="false" customHeight="false" outlineLevel="0" collapsed="false">
      <c r="A4" s="0" t="s">
        <v>66</v>
      </c>
    </row>
    <row r="5" customFormat="false" ht="15" hidden="false" customHeight="false" outlineLevel="0" collapsed="false">
      <c r="A5" s="0" t="s">
        <v>73</v>
      </c>
    </row>
    <row r="6" customFormat="false" ht="15" hidden="false" customHeight="false" outlineLevel="0" collapsed="false">
      <c r="A6" s="0" t="s">
        <v>64</v>
      </c>
    </row>
    <row r="7" customFormat="false" ht="15" hidden="false" customHeight="false" outlineLevel="0" collapsed="false">
      <c r="A7" s="0" t="s">
        <v>99</v>
      </c>
    </row>
    <row r="8" customFormat="false" ht="15" hidden="false" customHeight="false" outlineLevel="0" collapsed="false">
      <c r="A8" s="0" t="s">
        <v>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2026-10-25T18:28:55Z</dcterms:created>
  <dc:creator>openpyxl</dc:creator>
  <dc:description/>
  <dc:language>en-US</dc:language>
  <cp:lastModifiedBy/>
  <dcterms:modified xsi:type="dcterms:W3CDTF">2026-10-25T18:28:55Z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